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6690" windowWidth="17520" windowHeight="6630" tabRatio="817" activeTab="1"/>
  </bookViews>
  <sheets>
    <sheet name="Регион ФФПП 2025" sheetId="115" r:id="rId1"/>
    <sheet name="ИНП 2025" sheetId="61" r:id="rId2"/>
    <sheet name="ИБР2025" sheetId="94" r:id="rId3"/>
  </sheets>
  <definedNames>
    <definedName name="_xlnm.Print_Titles" localSheetId="2">ИБР2025!$A:$B</definedName>
    <definedName name="_xlnm.Print_Titles" localSheetId="1">'ИНП 2025'!$A:$B,'ИНП 2025'!$3:$8</definedName>
    <definedName name="_xlnm.Print_Titles" localSheetId="0">'Регион ФФПП 2025'!$A:$B</definedName>
    <definedName name="_xlnm.Print_Area" localSheetId="2">ИБР2025!$A$1:$AR$13</definedName>
    <definedName name="_xlnm.Print_Area" localSheetId="1">'ИНП 2025'!$A$1:$V$13</definedName>
    <definedName name="_xlnm.Print_Area" localSheetId="0">'Регион ФФПП 2025'!$A$1:$O$16</definedName>
  </definedNames>
  <calcPr calcId="144525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M21" i="61" l="1"/>
  <c r="N20" i="61" s="1"/>
  <c r="O20" i="61" s="1"/>
  <c r="N18" i="61" l="1"/>
  <c r="O18" i="61" s="1"/>
  <c r="N19" i="61"/>
  <c r="O19" i="61" s="1"/>
  <c r="F19" i="61"/>
  <c r="G19" i="61" s="1"/>
  <c r="F18" i="61"/>
  <c r="G18" i="61" s="1"/>
  <c r="F17" i="61"/>
  <c r="G17" i="61" s="1"/>
  <c r="F16" i="61"/>
  <c r="F20" i="61" s="1"/>
  <c r="G20" i="61" s="1"/>
  <c r="D20" i="61"/>
  <c r="E20" i="61"/>
  <c r="G16" i="61" l="1"/>
  <c r="I13" i="61"/>
  <c r="AJ13" i="94"/>
  <c r="AG13" i="94"/>
  <c r="AF13" i="94"/>
  <c r="AE13" i="94"/>
  <c r="J13" i="94"/>
  <c r="C13" i="94"/>
  <c r="AO12" i="94"/>
  <c r="AL12" i="94"/>
  <c r="AI12" i="94"/>
  <c r="AD12" i="94"/>
  <c r="AB12" i="94"/>
  <c r="Z12" i="94"/>
  <c r="X12" i="94"/>
  <c r="V12" i="94"/>
  <c r="T12" i="94"/>
  <c r="R12" i="94"/>
  <c r="P12" i="94"/>
  <c r="N12" i="94"/>
  <c r="L12" i="94"/>
  <c r="I12" i="94"/>
  <c r="E12" i="94"/>
  <c r="AO11" i="94"/>
  <c r="AL11" i="94"/>
  <c r="AI11" i="94"/>
  <c r="AD11" i="94"/>
  <c r="AB11" i="94"/>
  <c r="Z11" i="94"/>
  <c r="X11" i="94"/>
  <c r="V11" i="94"/>
  <c r="T11" i="94"/>
  <c r="R11" i="94"/>
  <c r="P11" i="94"/>
  <c r="N11" i="94"/>
  <c r="L11" i="94"/>
  <c r="I11" i="94"/>
  <c r="E11" i="94"/>
  <c r="AO10" i="94"/>
  <c r="AL10" i="94"/>
  <c r="AI10" i="94"/>
  <c r="AD10" i="94"/>
  <c r="AB10" i="94"/>
  <c r="Z10" i="94"/>
  <c r="X10" i="94"/>
  <c r="V10" i="94"/>
  <c r="T10" i="94"/>
  <c r="R10" i="94"/>
  <c r="P10" i="94"/>
  <c r="N10" i="94"/>
  <c r="L10" i="94"/>
  <c r="I10" i="94"/>
  <c r="E10" i="94"/>
  <c r="AO9" i="94"/>
  <c r="AL9" i="94"/>
  <c r="AI9" i="94"/>
  <c r="AD9" i="94"/>
  <c r="AB9" i="94"/>
  <c r="Z9" i="94"/>
  <c r="X9" i="94"/>
  <c r="V9" i="94"/>
  <c r="T9" i="94"/>
  <c r="R9" i="94"/>
  <c r="P9" i="94"/>
  <c r="N9" i="94"/>
  <c r="L9" i="94"/>
  <c r="E9" i="94"/>
  <c r="AI13" i="94" l="1"/>
  <c r="L13" i="94"/>
  <c r="AO13" i="94"/>
  <c r="T13" i="94"/>
  <c r="AL13" i="94"/>
  <c r="F13" i="94"/>
  <c r="R13" i="94"/>
  <c r="V13" i="94"/>
  <c r="AD13" i="94"/>
  <c r="P13" i="94"/>
  <c r="AB13" i="94"/>
  <c r="Z13" i="94"/>
  <c r="X13" i="94"/>
  <c r="AP11" i="94"/>
  <c r="AQ11" i="94" s="1"/>
  <c r="N13" i="94"/>
  <c r="AP10" i="94"/>
  <c r="AQ10" i="94" s="1"/>
  <c r="AP12" i="94"/>
  <c r="E13" i="94"/>
  <c r="R13" i="61"/>
  <c r="Q13" i="61"/>
  <c r="M13" i="61"/>
  <c r="J13" i="61"/>
  <c r="D13" i="61"/>
  <c r="C13" i="61"/>
  <c r="T12" i="61"/>
  <c r="P12" i="61"/>
  <c r="L12" i="61"/>
  <c r="H12" i="61"/>
  <c r="T11" i="61"/>
  <c r="P11" i="61"/>
  <c r="L11" i="61"/>
  <c r="H11" i="61"/>
  <c r="T10" i="61"/>
  <c r="P10" i="61"/>
  <c r="L10" i="61"/>
  <c r="H10" i="61"/>
  <c r="T9" i="61"/>
  <c r="P9" i="61"/>
  <c r="L9" i="61"/>
  <c r="H9" i="61"/>
  <c r="AQ12" i="94" l="1"/>
  <c r="I9" i="94"/>
  <c r="G13" i="94"/>
  <c r="H13" i="61"/>
  <c r="P13" i="61"/>
  <c r="U11" i="61"/>
  <c r="T13" i="61"/>
  <c r="U12" i="61"/>
  <c r="L13" i="61"/>
  <c r="U9" i="61"/>
  <c r="U10" i="61"/>
  <c r="I13" i="94" l="1"/>
  <c r="AP9" i="94"/>
  <c r="U13" i="61"/>
  <c r="V13" i="61" s="1"/>
  <c r="AP13" i="94" l="1"/>
  <c r="AR9" i="94" s="1"/>
  <c r="AQ9" i="94"/>
  <c r="AQ13" i="94" s="1"/>
  <c r="V9" i="61"/>
  <c r="V10" i="61"/>
  <c r="V12" i="61"/>
  <c r="V11" i="61"/>
  <c r="AR13" i="94" l="1"/>
  <c r="AR10" i="94"/>
  <c r="AR11" i="94"/>
  <c r="AR12" i="94"/>
  <c r="AJ44" i="94"/>
  <c r="AC44" i="94"/>
  <c r="AG44" i="94" l="1"/>
  <c r="I3" i="94" l="1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AN44" i="94" l="1"/>
  <c r="C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Z31" i="94"/>
  <c r="X31" i="94"/>
  <c r="V31" i="94"/>
  <c r="Z30" i="94"/>
  <c r="X30" i="94"/>
  <c r="V30" i="94"/>
  <c r="Z29" i="94"/>
  <c r="X29" i="94"/>
  <c r="V29" i="94"/>
  <c r="Z28" i="94"/>
  <c r="X28" i="94"/>
  <c r="V28" i="94"/>
  <c r="Z27" i="94"/>
  <c r="X27" i="94"/>
  <c r="V27" i="94"/>
  <c r="Z26" i="94"/>
  <c r="X26" i="94"/>
  <c r="V26" i="94"/>
  <c r="Z25" i="94"/>
  <c r="X25" i="94"/>
  <c r="V25" i="94"/>
  <c r="V44" i="94" l="1"/>
  <c r="Z44" i="94"/>
  <c r="X44" i="94"/>
  <c r="F12" i="115"/>
  <c r="F15" i="115" l="1"/>
  <c r="F13" i="115"/>
  <c r="F14" i="115"/>
  <c r="E12" i="115" l="1"/>
  <c r="E16" i="115"/>
  <c r="E13" i="115"/>
  <c r="G13" i="115" s="1"/>
  <c r="E15" i="115"/>
  <c r="E14" i="115"/>
  <c r="G14" i="115" s="1"/>
  <c r="H15" i="115"/>
  <c r="C16" i="115"/>
  <c r="A2" i="115"/>
  <c r="G12" i="115" l="1"/>
  <c r="G15" i="115"/>
  <c r="H13" i="115"/>
  <c r="H14" i="115"/>
  <c r="F16" i="115"/>
  <c r="J2" i="115" s="1"/>
  <c r="H12" i="115"/>
  <c r="H16" i="115" l="1"/>
  <c r="G16" i="115"/>
  <c r="D15" i="115" l="1"/>
  <c r="I15" i="115" s="1"/>
  <c r="D14" i="115"/>
  <c r="I14" i="115" s="1"/>
  <c r="D12" i="115"/>
  <c r="I12" i="115" s="1"/>
  <c r="D13" i="115"/>
  <c r="I13" i="115" s="1"/>
  <c r="D16" i="115"/>
  <c r="J13" i="115" l="1"/>
  <c r="J12" i="115"/>
  <c r="J14" i="115"/>
  <c r="J15" i="115"/>
  <c r="I16" i="115" l="1"/>
  <c r="J16" i="115"/>
  <c r="K15" i="115" l="1"/>
  <c r="K12" i="115"/>
  <c r="K13" i="115"/>
  <c r="K14" i="115"/>
  <c r="K16" i="115" l="1"/>
  <c r="L14" i="115" s="1"/>
  <c r="L15" i="115" l="1"/>
  <c r="L13" i="115"/>
  <c r="L12" i="115"/>
  <c r="N12" i="115" s="1"/>
  <c r="O12" i="115" s="1"/>
  <c r="M12" i="115" l="1"/>
  <c r="N13" i="115"/>
  <c r="O13" i="115" s="1"/>
  <c r="M13" i="115"/>
  <c r="N14" i="115"/>
  <c r="O14" i="115" s="1"/>
  <c r="M14" i="115"/>
  <c r="N15" i="115"/>
  <c r="O15" i="115" s="1"/>
  <c r="M15" i="115"/>
  <c r="L16" i="115"/>
  <c r="M16" i="115" l="1"/>
  <c r="O16" i="115"/>
  <c r="N16" i="115"/>
</calcChain>
</file>

<file path=xl/sharedStrings.xml><?xml version="1.0" encoding="utf-8"?>
<sst xmlns="http://schemas.openxmlformats.org/spreadsheetml/2006/main" count="290" uniqueCount="162">
  <si>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</si>
  <si>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</si>
  <si>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</si>
  <si>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</si>
  <si>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</si>
  <si>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</si>
  <si>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</si>
  <si>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</si>
  <si>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</si>
  <si>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</si>
  <si>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</si>
  <si>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</si>
  <si>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</si>
  <si>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</si>
  <si>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</si>
  <si>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</si>
  <si>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</si>
  <si>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</si>
  <si>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</si>
  <si>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</si>
  <si>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</si>
  <si>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</si>
  <si>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</si>
  <si>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</si>
  <si>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3</t>
  </si>
  <si>
    <t>1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</si>
  <si>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</si>
  <si>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</si>
  <si>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</si>
  <si>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</si>
  <si>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</si>
  <si>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</si>
  <si>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</si>
  <si>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</si>
  <si>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</si>
  <si>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</si>
  <si>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</si>
  <si>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</si>
  <si>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</si>
  <si>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</si>
  <si>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</si>
  <si>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</si>
  <si>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</si>
  <si>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</si>
  <si>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</si>
  <si>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</si>
  <si>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</si>
  <si>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</si>
  <si>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</si>
  <si>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</si>
  <si>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</si>
  <si>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</si>
  <si>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</si>
  <si>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</si>
  <si>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</si>
  <si>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</si>
  <si>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</si>
  <si>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</si>
  <si>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</si>
  <si>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</si>
  <si>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</si>
  <si>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</si>
  <si>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</si>
  <si>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</si>
  <si>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</si>
  <si>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</si>
  <si>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</si>
  <si>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</si>
  <si>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</si>
  <si>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</si>
  <si>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</si>
  <si>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</si>
  <si>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</si>
  <si>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</si>
  <si>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</si>
  <si>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</si>
  <si>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</si>
  <si>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</si>
  <si>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</si>
  <si>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</si>
  <si>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</si>
  <si>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</si>
  <si>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</si>
  <si>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</si>
  <si>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</si>
  <si>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</si>
  <si>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</si>
  <si>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</si>
  <si>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</si>
  <si>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</si>
  <si>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</si>
  <si>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</si>
  <si>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</si>
  <si>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</si>
  <si>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</si>
  <si>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</si>
  <si>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</si>
  <si>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</si>
  <si>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</si>
  <si>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</si>
  <si>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</si>
  <si>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</si>
  <si>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</si>
  <si>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</si>
  <si>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</si>
  <si>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</si>
  <si>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</si>
  <si>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</si>
  <si>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</si>
  <si>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</si>
  <si>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</si>
  <si>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</si>
  <si>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</si>
  <si>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</si>
  <si>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</si>
  <si>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</si>
  <si>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</si>
  <si>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</si>
  <si>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</si>
  <si>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</si>
  <si>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</si>
  <si>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</si>
  <si>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</si>
  <si>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</si>
  <si>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</si>
  <si>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</si>
  <si>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</si>
  <si>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</si>
  <si>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</si>
  <si>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</si>
  <si>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</si>
  <si>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</si>
  <si>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</si>
  <si>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</si>
  <si>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</si>
  <si>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</si>
  <si>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</si>
  <si>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</si>
  <si>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</si>
  <si>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</si>
  <si>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</si>
  <si>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</si>
  <si>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</si>
  <si>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Мглинское городское</t>
  </si>
  <si>
    <t>Ветлевское</t>
  </si>
  <si>
    <t>Краснокосаровское</t>
  </si>
  <si>
    <t>Симонтовское</t>
  </si>
  <si>
    <t>Численность постоянного населения на 01.01.2023, чел.</t>
  </si>
  <si>
    <t xml:space="preserve">   </t>
  </si>
  <si>
    <t xml:space="preserve">Доля налога в оценке ФОТ (2024 год) </t>
  </si>
  <si>
    <t>Расходы на обеспечение первичных мер пожарной безопасности в границах населенных пунктов поселения</t>
  </si>
  <si>
    <t>Численность постоянного населения на 01.01.2024, чел.</t>
  </si>
  <si>
    <t>РАСЧЕТ индекса налогового потенциала на 2025 год</t>
  </si>
  <si>
    <t>предоставляемых за счет субвенций из областного бюджета, на 2025 год</t>
  </si>
  <si>
    <t>РАСЧЕТ индекса бюджетных расходов на 2025 год</t>
  </si>
  <si>
    <t>Численность постоянного населения на 1.01.2024, чел.</t>
  </si>
  <si>
    <t>ФОТ 2023</t>
  </si>
  <si>
    <t>НДФЛ 2023</t>
  </si>
  <si>
    <t>контингент</t>
  </si>
  <si>
    <t>% изъятия</t>
  </si>
  <si>
    <t>ИТОГО с посел</t>
  </si>
  <si>
    <t>уд вес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</si>
</sst>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5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family val="1"/>
      <charset val="204"/>
    </font>
    <font>
      <sz val="12"/>
      <color theme="1"/>
      <name val="Times New Roman Cyr"/>
      <family val="1"/>
      <charset val="204"/>
    </font>
    <font>
      <b/>
      <sz val="12"/>
      <color theme="1"/>
      <name val="Times New Roman Cyr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28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2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66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4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1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1" fillId="6" borderId="3" xfId="2" applyNumberFormat="1" applyFont="1" applyFill="1" applyBorder="1" applyProtection="1">
      <protection locked="0"/>
    </xf>
    <xf numFmtId="0" fontId="47" fillId="0" borderId="0" xfId="2" applyFont="1"/>
    <xf numFmtId="166" fontId="25" fillId="0" borderId="3" xfId="2" applyNumberFormat="1" applyFont="1" applyFill="1" applyBorder="1"/>
    <xf numFmtId="166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/>
    </xf>
    <xf numFmtId="3" fontId="24" fillId="0" borderId="1" xfId="2" applyNumberFormat="1" applyFont="1" applyFill="1" applyBorder="1" applyAlignment="1">
      <alignment horizontal="right" wrapText="1"/>
    </xf>
    <xf numFmtId="3" fontId="44" fillId="2" borderId="1" xfId="2" applyNumberFormat="1" applyFont="1" applyFill="1" applyBorder="1"/>
    <xf numFmtId="3" fontId="4" fillId="0" borderId="0" xfId="2" applyNumberFormat="1"/>
    <xf numFmtId="3" fontId="50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3" fontId="5" fillId="2" borderId="1" xfId="2" applyNumberFormat="1" applyFont="1" applyFill="1" applyBorder="1"/>
    <xf numFmtId="0" fontId="4" fillId="4" borderId="0" xfId="2" applyFont="1" applyFill="1" applyAlignment="1">
      <alignment wrapText="1"/>
    </xf>
    <xf numFmtId="168" fontId="5" fillId="2" borderId="12" xfId="2" applyNumberFormat="1" applyFont="1" applyFill="1" applyBorder="1"/>
    <xf numFmtId="10" fontId="51" fillId="4" borderId="1" xfId="2" applyNumberFormat="1" applyFont="1" applyFill="1" applyBorder="1" applyAlignment="1">
      <alignment wrapText="1"/>
    </xf>
    <xf numFmtId="166" fontId="51" fillId="0" borderId="1" xfId="2" applyNumberFormat="1" applyFont="1" applyFill="1" applyBorder="1" applyAlignment="1">
      <alignment wrapText="1"/>
    </xf>
    <xf numFmtId="3" fontId="52" fillId="2" borderId="1" xfId="2" applyNumberFormat="1" applyFont="1" applyFill="1" applyBorder="1" applyAlignment="1">
      <alignment horizontal="center"/>
    </xf>
    <xf numFmtId="167" fontId="52" fillId="2" borderId="1" xfId="2" applyNumberFormat="1" applyFont="1" applyFill="1" applyBorder="1"/>
    <xf numFmtId="10" fontId="53" fillId="4" borderId="1" xfId="2" applyNumberFormat="1" applyFont="1" applyFill="1" applyBorder="1" applyAlignment="1">
      <alignment wrapText="1"/>
    </xf>
    <xf numFmtId="9" fontId="53" fillId="0" borderId="1" xfId="2" applyNumberFormat="1" applyFont="1" applyFill="1" applyBorder="1" applyAlignment="1">
      <alignment wrapText="1"/>
    </xf>
    <xf numFmtId="3" fontId="54" fillId="2" borderId="1" xfId="2" applyNumberFormat="1" applyFont="1" applyFill="1" applyBorder="1" applyAlignment="1">
      <alignment horizontal="center"/>
    </xf>
    <xf numFmtId="168" fontId="51" fillId="0" borderId="1" xfId="2" applyNumberFormat="1" applyFont="1" applyFill="1" applyBorder="1" applyProtection="1">
      <protection locked="0"/>
    </xf>
    <xf numFmtId="172" fontId="52" fillId="0" borderId="1" xfId="2" applyNumberFormat="1" applyFont="1" applyFill="1" applyBorder="1"/>
    <xf numFmtId="166" fontId="51" fillId="8" borderId="1" xfId="2" applyNumberFormat="1" applyFont="1" applyFill="1" applyBorder="1" applyProtection="1">
      <protection locked="0"/>
    </xf>
    <xf numFmtId="166" fontId="51" fillId="0" borderId="1" xfId="2" applyNumberFormat="1" applyFont="1" applyFill="1" applyBorder="1" applyProtection="1">
      <protection locked="0"/>
    </xf>
    <xf numFmtId="173" fontId="51" fillId="0" borderId="1" xfId="2" applyNumberFormat="1" applyFont="1" applyFill="1" applyBorder="1" applyProtection="1">
      <protection locked="0"/>
    </xf>
    <xf numFmtId="168" fontId="52" fillId="2" borderId="1" xfId="2" applyNumberFormat="1" applyFont="1" applyFill="1" applyBorder="1" applyAlignment="1">
      <alignment horizontal="center"/>
    </xf>
    <xf numFmtId="166" fontId="52" fillId="8" borderId="1" xfId="2" applyNumberFormat="1" applyFont="1" applyFill="1" applyBorder="1"/>
    <xf numFmtId="166" fontId="52" fillId="2" borderId="1" xfId="2" applyNumberFormat="1" applyFont="1" applyFill="1" applyBorder="1"/>
    <xf numFmtId="166" fontId="52" fillId="2" borderId="1" xfId="2" applyNumberFormat="1" applyFont="1" applyFill="1" applyBorder="1" applyAlignment="1">
      <alignment horizontal="center"/>
    </xf>
    <xf numFmtId="1" fontId="52" fillId="2" borderId="1" xfId="2" applyNumberFormat="1" applyFont="1" applyFill="1" applyBorder="1"/>
    <xf numFmtId="167" fontId="24" fillId="9" borderId="1" xfId="2" applyNumberFormat="1" applyFont="1" applyFill="1" applyBorder="1" applyAlignment="1">
      <alignment wrapText="1"/>
    </xf>
    <xf numFmtId="167" fontId="5" fillId="2" borderId="1" xfId="2" applyNumberFormat="1" applyFont="1" applyFill="1" applyBorder="1"/>
    <xf numFmtId="167" fontId="5" fillId="0" borderId="1" xfId="2" applyNumberFormat="1" applyFont="1" applyFill="1" applyBorder="1" applyAlignment="1">
      <alignment horizontal="right" wrapText="1"/>
    </xf>
    <xf numFmtId="171" fontId="5" fillId="2" borderId="1" xfId="2" applyNumberFormat="1" applyFont="1" applyFill="1" applyBorder="1"/>
    <xf numFmtId="168" fontId="5" fillId="2" borderId="1" xfId="2" applyNumberFormat="1" applyFont="1" applyFill="1" applyBorder="1" applyAlignment="1">
      <alignment horizontal="center"/>
    </xf>
    <xf numFmtId="172" fontId="5" fillId="0" borderId="1" xfId="2" applyNumberFormat="1" applyFont="1" applyFill="1" applyBorder="1"/>
    <xf numFmtId="171" fontId="5" fillId="0" borderId="1" xfId="2" applyNumberFormat="1" applyFont="1" applyFill="1" applyBorder="1"/>
    <xf numFmtId="166" fontId="5" fillId="2" borderId="1" xfId="2" applyNumberFormat="1" applyFont="1" applyFill="1" applyBorder="1" applyAlignment="1">
      <alignment horizontal="center"/>
    </xf>
    <xf numFmtId="164" fontId="5" fillId="0" borderId="1" xfId="2" applyNumberFormat="1" applyFont="1" applyFill="1" applyBorder="1"/>
    <xf numFmtId="1" fontId="5" fillId="2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169" fontId="40" fillId="0" borderId="1" xfId="2" applyNumberFormat="1" applyFont="1" applyFill="1" applyBorder="1"/>
    <xf numFmtId="170" fontId="5" fillId="0" borderId="1" xfId="2" applyNumberFormat="1" applyFont="1" applyFill="1" applyBorder="1"/>
    <xf numFmtId="168" fontId="5" fillId="2" borderId="1" xfId="2" applyNumberFormat="1" applyFont="1" applyFill="1" applyBorder="1"/>
    <xf numFmtId="170" fontId="5" fillId="2" borderId="1" xfId="2" applyNumberFormat="1" applyFont="1" applyFill="1" applyBorder="1"/>
    <xf numFmtId="9" fontId="24" fillId="0" borderId="1" xfId="2" applyNumberFormat="1" applyFont="1" applyFill="1" applyBorder="1" applyAlignment="1">
      <alignment wrapText="1"/>
    </xf>
    <xf numFmtId="3" fontId="5" fillId="2" borderId="1" xfId="2" applyNumberFormat="1" applyFont="1" applyFill="1" applyBorder="1" applyAlignment="1">
      <alignment horizontal="center"/>
    </xf>
    <xf numFmtId="170" fontId="5" fillId="0" borderId="1" xfId="2" applyNumberFormat="1" applyFont="1" applyFill="1" applyBorder="1" applyAlignment="1">
      <alignment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172" fontId="53" fillId="0" borderId="1" xfId="0" applyNumberFormat="1" applyFont="1" applyBorder="1"/>
    <xf numFmtId="171" fontId="54" fillId="2" borderId="1" xfId="2" applyNumberFormat="1" applyFont="1" applyFill="1" applyBorder="1"/>
    <xf numFmtId="0" fontId="4" fillId="0" borderId="0" xfId="2" applyFont="1" applyFill="1" applyBorder="1" applyAlignment="1">
      <alignment wrapText="1"/>
    </xf>
    <xf numFmtId="0" fontId="44" fillId="2" borderId="0" xfId="2" applyFont="1" applyFill="1" applyBorder="1" applyAlignment="1">
      <alignment horizontal="center"/>
    </xf>
    <xf numFmtId="3" fontId="44" fillId="2" borderId="0" xfId="2" applyNumberFormat="1" applyFont="1" applyFill="1" applyBorder="1"/>
    <xf numFmtId="3" fontId="52" fillId="2" borderId="0" xfId="2" applyNumberFormat="1" applyFont="1" applyFill="1" applyBorder="1" applyAlignment="1">
      <alignment horizontal="center"/>
    </xf>
    <xf numFmtId="3" fontId="5" fillId="2" borderId="0" xfId="2" applyNumberFormat="1" applyFont="1" applyFill="1" applyBorder="1" applyAlignment="1">
      <alignment horizontal="center"/>
    </xf>
    <xf numFmtId="167" fontId="5" fillId="2" borderId="0" xfId="2" applyNumberFormat="1" applyFont="1" applyFill="1" applyBorder="1"/>
    <xf numFmtId="3" fontId="5" fillId="2" borderId="0" xfId="2" applyNumberFormat="1" applyFont="1" applyFill="1" applyBorder="1"/>
    <xf numFmtId="3" fontId="54" fillId="2" borderId="0" xfId="2" applyNumberFormat="1" applyFont="1" applyFill="1" applyBorder="1" applyAlignment="1">
      <alignment horizontal="center"/>
    </xf>
    <xf numFmtId="171" fontId="5" fillId="2" borderId="0" xfId="2" applyNumberFormat="1" applyFont="1" applyFill="1" applyBorder="1"/>
    <xf numFmtId="171" fontId="54" fillId="2" borderId="0" xfId="2" applyNumberFormat="1" applyFont="1" applyFill="1" applyBorder="1"/>
    <xf numFmtId="170" fontId="5" fillId="2" borderId="0" xfId="2" applyNumberFormat="1" applyFont="1" applyFill="1" applyBorder="1"/>
    <xf numFmtId="167" fontId="53" fillId="10" borderId="1" xfId="2" applyNumberFormat="1" applyFont="1" applyFill="1" applyBorder="1" applyAlignment="1">
      <alignment wrapText="1"/>
    </xf>
    <xf numFmtId="167" fontId="24" fillId="10" borderId="1" xfId="2" applyNumberFormat="1" applyFont="1" applyFill="1" applyBorder="1" applyAlignment="1">
      <alignment wrapText="1"/>
    </xf>
    <xf numFmtId="167" fontId="4" fillId="0" borderId="0" xfId="2" applyNumberFormat="1" applyFont="1" applyFill="1" applyBorder="1" applyAlignment="1">
      <alignment wrapText="1"/>
    </xf>
    <xf numFmtId="10" fontId="24" fillId="4" borderId="1" xfId="2" applyNumberFormat="1" applyFont="1" applyFill="1" applyBorder="1" applyAlignment="1">
      <alignment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5" fillId="2" borderId="1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val="FFFFFF"/>
        </a:solidFill>
        <a:ln w="952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val="FFFFFF"/>
        </a:solidFill>
        <a:ln w="952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18"/>
  <sheetViews>
    <sheetView topLeftCell="F1" zoomScale="86" zoomScaleNormal="86" zoomScaleSheetLayoutView="85" workbookViewId="0">
      <selection activeCell="L13" sqref="L13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78" customFormat="1" ht="18.75" x14ac:dyDescent="0.3">
      <c r="A1" s="75"/>
      <c r="B1" s="76"/>
      <c r="C1" s="77"/>
      <c r="K1" s="79"/>
      <c r="N1" s="80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</row>
    <row r="2" spans="1:32" s="78" customFormat="1" ht="17.649999999999999" customHeight="1" x14ac:dyDescent="0.35">
      <c r="A2" s="191">
        <f ca="1">NOW()</f>
        <v>45601.646420254627</v>
      </c>
      <c r="B2" s="191"/>
      <c r="C2" s="101" t="s">
        <v>88</v>
      </c>
      <c r="D2" s="99"/>
      <c r="E2" s="99"/>
      <c r="F2" s="99"/>
      <c r="G2" s="99"/>
      <c r="H2" s="99"/>
      <c r="I2" s="82"/>
      <c r="J2" s="83">
        <f>(F16+L2)/F16</f>
        <v>1.0311829203112757</v>
      </c>
      <c r="K2" s="82"/>
      <c r="L2" s="84">
        <v>901.4</v>
      </c>
      <c r="M2" s="85"/>
      <c r="N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</row>
    <row r="3" spans="1:32" s="78" customFormat="1" ht="17.649999999999999" customHeight="1" x14ac:dyDescent="0.35">
      <c r="A3" s="98"/>
      <c r="B3" s="98"/>
      <c r="C3" s="101" t="s">
        <v>89</v>
      </c>
      <c r="D3" s="99"/>
      <c r="E3" s="99"/>
      <c r="F3" s="99"/>
      <c r="G3" s="99"/>
      <c r="H3" s="99"/>
      <c r="I3" s="82"/>
      <c r="J3" s="81"/>
      <c r="K3" s="81"/>
      <c r="L3" s="81"/>
      <c r="M3" s="85"/>
      <c r="N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</row>
    <row r="4" spans="1:32" s="78" customFormat="1" ht="17.649999999999999" customHeight="1" x14ac:dyDescent="0.35">
      <c r="A4" s="98"/>
      <c r="B4" s="98"/>
      <c r="C4" s="101" t="s">
        <v>153</v>
      </c>
      <c r="D4" s="99"/>
      <c r="E4" s="99"/>
      <c r="F4" s="99"/>
      <c r="G4" s="99"/>
      <c r="H4" s="99"/>
      <c r="I4" s="82"/>
      <c r="J4" s="81"/>
      <c r="K4" s="81"/>
      <c r="L4" s="81"/>
      <c r="M4" s="85"/>
      <c r="N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</row>
    <row r="5" spans="1:32" s="78" customFormat="1" ht="17.649999999999999" customHeight="1" x14ac:dyDescent="0.35">
      <c r="A5" s="98"/>
      <c r="B5" s="98"/>
      <c r="C5" s="101" t="s">
        <v>90</v>
      </c>
      <c r="D5" s="99"/>
      <c r="E5" s="99"/>
      <c r="F5" s="99"/>
      <c r="G5" s="99"/>
      <c r="H5" s="99"/>
      <c r="I5" s="82"/>
      <c r="J5" s="81"/>
      <c r="K5" s="81"/>
      <c r="L5" s="81"/>
      <c r="M5" s="85"/>
      <c r="N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</row>
    <row r="6" spans="1:32" s="78" customFormat="1" ht="15.75" customHeight="1" x14ac:dyDescent="0.25">
      <c r="A6" s="2" t="s">
        <v>7</v>
      </c>
      <c r="B6" s="2"/>
      <c r="C6" s="100"/>
      <c r="D6" s="100"/>
      <c r="E6" s="100"/>
      <c r="F6" s="100"/>
      <c r="G6" s="100"/>
      <c r="H6" s="100"/>
      <c r="I6" s="86"/>
      <c r="J6" s="81"/>
      <c r="K6" s="86"/>
      <c r="L6" s="86"/>
      <c r="M6" s="86"/>
      <c r="N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</row>
    <row r="7" spans="1:32" s="78" customFormat="1" ht="13.15" customHeight="1" x14ac:dyDescent="0.2">
      <c r="A7" s="192" t="s">
        <v>1</v>
      </c>
      <c r="B7" s="192" t="s">
        <v>2</v>
      </c>
      <c r="C7" s="193" t="s">
        <v>151</v>
      </c>
      <c r="D7" s="192" t="s">
        <v>3</v>
      </c>
      <c r="E7" s="192" t="s">
        <v>20</v>
      </c>
      <c r="F7" s="192" t="s">
        <v>18</v>
      </c>
      <c r="G7" s="190" t="s">
        <v>21</v>
      </c>
      <c r="H7" s="192" t="s">
        <v>17</v>
      </c>
      <c r="I7" s="192" t="s">
        <v>94</v>
      </c>
      <c r="J7" s="192" t="s">
        <v>19</v>
      </c>
      <c r="K7" s="192" t="s">
        <v>91</v>
      </c>
      <c r="L7" s="10">
        <v>1</v>
      </c>
      <c r="M7" s="192" t="s">
        <v>142</v>
      </c>
      <c r="N7" s="190" t="s">
        <v>93</v>
      </c>
      <c r="O7" s="190" t="s">
        <v>95</v>
      </c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</row>
    <row r="8" spans="1:32" s="78" customFormat="1" ht="13.15" customHeight="1" x14ac:dyDescent="0.2">
      <c r="A8" s="192"/>
      <c r="B8" s="192"/>
      <c r="C8" s="193"/>
      <c r="D8" s="192"/>
      <c r="E8" s="192"/>
      <c r="F8" s="192"/>
      <c r="G8" s="190"/>
      <c r="H8" s="192"/>
      <c r="I8" s="192"/>
      <c r="J8" s="192"/>
      <c r="K8" s="192"/>
      <c r="L8" s="190" t="s">
        <v>92</v>
      </c>
      <c r="M8" s="192"/>
      <c r="N8" s="190"/>
      <c r="O8" s="190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</row>
    <row r="9" spans="1:32" s="78" customFormat="1" ht="112.5" customHeight="1" x14ac:dyDescent="0.2">
      <c r="A9" s="192"/>
      <c r="B9" s="192"/>
      <c r="C9" s="193"/>
      <c r="D9" s="192"/>
      <c r="E9" s="192"/>
      <c r="F9" s="192"/>
      <c r="G9" s="190"/>
      <c r="H9" s="192"/>
      <c r="I9" s="192"/>
      <c r="J9" s="192"/>
      <c r="K9" s="192"/>
      <c r="L9" s="195"/>
      <c r="M9" s="192"/>
      <c r="N9" s="190"/>
      <c r="O9" s="190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</row>
    <row r="10" spans="1:32" s="87" customFormat="1" ht="27" customHeight="1" x14ac:dyDescent="0.2">
      <c r="A10" s="196" t="s">
        <v>34</v>
      </c>
      <c r="B10" s="197"/>
      <c r="C10" s="20">
        <v>1</v>
      </c>
      <c r="D10" s="20">
        <v>2</v>
      </c>
      <c r="E10" s="20">
        <v>3</v>
      </c>
      <c r="F10" s="20">
        <v>4</v>
      </c>
      <c r="G10" s="20" t="s">
        <v>31</v>
      </c>
      <c r="H10" s="20" t="s">
        <v>32</v>
      </c>
      <c r="I10" s="20" t="s">
        <v>15</v>
      </c>
      <c r="J10" s="20" t="s">
        <v>141</v>
      </c>
      <c r="K10" s="20" t="s">
        <v>16</v>
      </c>
      <c r="L10" s="20" t="s">
        <v>35</v>
      </c>
      <c r="M10" s="20" t="s">
        <v>30</v>
      </c>
      <c r="N10" s="20" t="s">
        <v>85</v>
      </c>
      <c r="O10" s="20" t="s">
        <v>86</v>
      </c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</row>
    <row r="11" spans="1:32" s="78" customFormat="1" x14ac:dyDescent="0.2">
      <c r="A11" s="198"/>
      <c r="B11" s="199"/>
      <c r="C11" s="92" t="s">
        <v>33</v>
      </c>
      <c r="D11" s="92" t="s">
        <v>10</v>
      </c>
      <c r="E11" s="92" t="s">
        <v>11</v>
      </c>
      <c r="F11" s="93"/>
      <c r="G11" s="94"/>
      <c r="H11" s="94"/>
      <c r="I11" s="94"/>
      <c r="J11" s="92"/>
      <c r="K11" s="94"/>
      <c r="L11" s="95">
        <v>901.4</v>
      </c>
      <c r="M11" s="96"/>
      <c r="N11" s="97"/>
      <c r="O11" s="97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</row>
    <row r="12" spans="1:32" s="7" customFormat="1" ht="22.5" customHeight="1" x14ac:dyDescent="0.25">
      <c r="A12" s="30" t="s">
        <v>25</v>
      </c>
      <c r="B12" s="51" t="s">
        <v>143</v>
      </c>
      <c r="C12" s="117">
        <v>6783</v>
      </c>
      <c r="D12" s="14">
        <f>'ИНП 2025'!V9</f>
        <v>1.65469</v>
      </c>
      <c r="E12" s="14">
        <f>ИБР2025!AR9</f>
        <v>1.14653</v>
      </c>
      <c r="F12" s="16">
        <f>'ИНП 2025'!U9</f>
        <v>21020</v>
      </c>
      <c r="G12" s="17">
        <f>F12/E12</f>
        <v>18333.580455810141</v>
      </c>
      <c r="H12" s="19">
        <f>F12/C12</f>
        <v>3.0989237800383309</v>
      </c>
      <c r="I12" s="13">
        <f>D12/E12</f>
        <v>1.4432156158146756</v>
      </c>
      <c r="J12" s="102">
        <f>IF(I12&lt;$J$2,$J$2*($J$2-I12)*E12*C12,0)</f>
        <v>0</v>
      </c>
      <c r="K12" s="15">
        <f>J12/$J$16</f>
        <v>0</v>
      </c>
      <c r="L12" s="132">
        <f>ROUND($L$11*K12/$K$16,3)</f>
        <v>0</v>
      </c>
      <c r="M12" s="13">
        <f>I12+L12/(C12*E12*$J$2)</f>
        <v>1.4432156158146756</v>
      </c>
      <c r="N12" s="105">
        <f>ROUND((G12+L12),1)</f>
        <v>18333.599999999999</v>
      </c>
      <c r="O12" s="106">
        <f>ROUND(N12/C12,3)</f>
        <v>2.7029999999999998</v>
      </c>
    </row>
    <row r="13" spans="1:32" s="7" customFormat="1" ht="22.5" customHeight="1" x14ac:dyDescent="0.25">
      <c r="A13" s="30" t="s">
        <v>22</v>
      </c>
      <c r="B13" s="59" t="s">
        <v>144</v>
      </c>
      <c r="C13" s="117">
        <v>3533</v>
      </c>
      <c r="D13" s="14">
        <f>'ИНП 2025'!V10</f>
        <v>0.55833999999999995</v>
      </c>
      <c r="E13" s="14">
        <f>ИБР2025!AR10</f>
        <v>0.88622000000000001</v>
      </c>
      <c r="F13" s="16">
        <f>'ИНП 2025'!U10</f>
        <v>3694.35</v>
      </c>
      <c r="G13" s="17">
        <f t="shared" ref="G13:G15" si="0">F13/E13</f>
        <v>4168.6601521067005</v>
      </c>
      <c r="H13" s="19">
        <f t="shared" ref="H13:H15" si="1">F13/C13</f>
        <v>1.0456694027738465</v>
      </c>
      <c r="I13" s="13">
        <f t="shared" ref="I13:I15" si="2">D13/E13</f>
        <v>0.63002414750287727</v>
      </c>
      <c r="J13" s="102">
        <f t="shared" ref="J13:J15" si="3">IF(I13&lt;$J$2,$J$2*($J$2-I13)*E13*C13,0)</f>
        <v>1295.2010549397276</v>
      </c>
      <c r="K13" s="15">
        <f t="shared" ref="K13:K15" si="4">J13/$J$16</f>
        <v>0.34079317379252666</v>
      </c>
      <c r="L13" s="132">
        <f>ROUND($L$11*K13/$K$16,3)</f>
        <v>307.19099999999997</v>
      </c>
      <c r="M13" s="13">
        <f t="shared" ref="M13:M15" si="5">I13+L13/(C13*E13*$J$2)</f>
        <v>0.72516950281878945</v>
      </c>
      <c r="N13" s="105">
        <f t="shared" ref="N13:N15" si="6">ROUND((G13+L13),1)</f>
        <v>4475.8999999999996</v>
      </c>
      <c r="O13" s="106">
        <f t="shared" ref="O13:O15" si="7">ROUND(N13/C13,3)</f>
        <v>1.2669999999999999</v>
      </c>
    </row>
    <row r="14" spans="1:32" s="7" customFormat="1" ht="22.5" customHeight="1" x14ac:dyDescent="0.25">
      <c r="A14" s="30" t="s">
        <v>24</v>
      </c>
      <c r="B14" s="59" t="s">
        <v>145</v>
      </c>
      <c r="C14" s="117">
        <v>2684</v>
      </c>
      <c r="D14" s="14">
        <f>'ИНП 2025'!V11</f>
        <v>0.46977999999999998</v>
      </c>
      <c r="E14" s="14">
        <f>ИБР2025!AR11</f>
        <v>0.88453999999999999</v>
      </c>
      <c r="F14" s="16">
        <f>'ИНП 2025'!U11</f>
        <v>2361.42</v>
      </c>
      <c r="G14" s="17">
        <f t="shared" si="0"/>
        <v>2669.6588057069212</v>
      </c>
      <c r="H14" s="19">
        <f t="shared" si="1"/>
        <v>0.87981371087928473</v>
      </c>
      <c r="I14" s="13">
        <f t="shared" si="2"/>
        <v>0.53110091120808556</v>
      </c>
      <c r="J14" s="102">
        <f t="shared" si="3"/>
        <v>1224.2692186372383</v>
      </c>
      <c r="K14" s="15">
        <f t="shared" si="4"/>
        <v>0.32212959602267827</v>
      </c>
      <c r="L14" s="132">
        <f t="shared" ref="L14:L15" si="8">ROUND($L$11*K14/$K$16,3)</f>
        <v>290.36799999999999</v>
      </c>
      <c r="M14" s="13">
        <f t="shared" si="5"/>
        <v>0.64970865745274664</v>
      </c>
      <c r="N14" s="105">
        <f t="shared" si="6"/>
        <v>2960</v>
      </c>
      <c r="O14" s="106">
        <f t="shared" si="7"/>
        <v>1.103</v>
      </c>
    </row>
    <row r="15" spans="1:32" s="18" customFormat="1" ht="22.5" customHeight="1" x14ac:dyDescent="0.25">
      <c r="A15" s="30" t="s">
        <v>23</v>
      </c>
      <c r="B15" s="59" t="s">
        <v>146</v>
      </c>
      <c r="C15" s="117">
        <v>2435</v>
      </c>
      <c r="D15" s="14">
        <f>'ИНП 2025'!V12</f>
        <v>0.40153</v>
      </c>
      <c r="E15" s="14">
        <f>ИБР2025!AR12</f>
        <v>0.88415999999999995</v>
      </c>
      <c r="F15" s="16">
        <f>'ИНП 2025'!U12</f>
        <v>1831.08</v>
      </c>
      <c r="G15" s="25">
        <f t="shared" si="0"/>
        <v>2070.9826275787186</v>
      </c>
      <c r="H15" s="26">
        <f t="shared" si="1"/>
        <v>0.75198357289527717</v>
      </c>
      <c r="I15" s="27">
        <f t="shared" si="2"/>
        <v>0.45413726022439382</v>
      </c>
      <c r="J15" s="102">
        <f t="shared" si="3"/>
        <v>1281.0784302777658</v>
      </c>
      <c r="K15" s="15">
        <f t="shared" si="4"/>
        <v>0.33707723018479502</v>
      </c>
      <c r="L15" s="132">
        <f t="shared" si="8"/>
        <v>303.84100000000001</v>
      </c>
      <c r="M15" s="13">
        <f t="shared" si="5"/>
        <v>0.5909986156750846</v>
      </c>
      <c r="N15" s="105">
        <f t="shared" si="6"/>
        <v>2374.8000000000002</v>
      </c>
      <c r="O15" s="106">
        <f t="shared" si="7"/>
        <v>0.97499999999999998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ht="22.5" customHeight="1" x14ac:dyDescent="0.25">
      <c r="A16" s="194" t="s">
        <v>0</v>
      </c>
      <c r="B16" s="194"/>
      <c r="C16" s="118">
        <f>SUM(C12:C15)</f>
        <v>15435</v>
      </c>
      <c r="D16" s="104">
        <f>'ИНП 2025'!V13</f>
        <v>1</v>
      </c>
      <c r="E16" s="104">
        <f>ИБР2025!AR13</f>
        <v>1</v>
      </c>
      <c r="F16" s="21">
        <f>SUM(F12:F15)</f>
        <v>28906.85</v>
      </c>
      <c r="G16" s="21">
        <f>SUM(G12:G15)</f>
        <v>27242.882041202483</v>
      </c>
      <c r="H16" s="23">
        <f>AVERAGE(H12:H15)</f>
        <v>1.4440976166466848</v>
      </c>
      <c r="I16" s="22">
        <f>AVERAGE(I12:I15)</f>
        <v>0.76461948368750809</v>
      </c>
      <c r="J16" s="21">
        <f>SUM(J12:J15)</f>
        <v>3800.5487038547317</v>
      </c>
      <c r="K16" s="103">
        <f>SUM(K12:K15)</f>
        <v>1</v>
      </c>
      <c r="L16" s="133">
        <f>SUM(L12:L15)</f>
        <v>901.4</v>
      </c>
      <c r="M16" s="22">
        <f>AVERAGE(M12:M15)</f>
        <v>0.85227309794032402</v>
      </c>
      <c r="N16" s="21">
        <f>SUM(N12:N15)</f>
        <v>28144.3</v>
      </c>
      <c r="O16" s="22">
        <f>AVERAGE(O12:O15)</f>
        <v>1.5119999999999998</v>
      </c>
    </row>
    <row r="17" spans="1:14" x14ac:dyDescent="0.2">
      <c r="A17" s="7"/>
      <c r="B17" s="7"/>
      <c r="C17" s="7"/>
      <c r="D17" s="7"/>
      <c r="E17" s="7"/>
      <c r="F17" s="7"/>
      <c r="G17" s="7"/>
      <c r="H17" s="7"/>
      <c r="I17" s="7"/>
      <c r="J17" s="12"/>
      <c r="K17" s="7"/>
      <c r="L17" s="7"/>
      <c r="M17" s="7"/>
      <c r="N17" s="7"/>
    </row>
    <row r="18" spans="1:1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11"/>
      <c r="M18" s="7"/>
      <c r="N18" s="7"/>
    </row>
  </sheetData>
  <mergeCells count="19">
    <mergeCell ref="A16:B16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50"/>
  </sheetPr>
  <dimension ref="A1:X39"/>
  <sheetViews>
    <sheetView tabSelected="1" zoomScale="85" zoomScaleNormal="85" zoomScaleSheetLayoutView="85" workbookViewId="0">
      <pane xSplit="2" ySplit="9" topLeftCell="L10" activePane="bottomRight" state="frozen"/>
      <selection activeCell="G21" sqref="G21"/>
      <selection pane="topRight" activeCell="G21" sqref="G21"/>
      <selection pane="bottomLeft" activeCell="G21" sqref="G21"/>
      <selection pane="bottomRight" activeCell="S34" sqref="S34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3.6640625" style="5" customWidth="1"/>
    <col min="5" max="5" width="13.83203125" style="5" customWidth="1"/>
    <col min="6" max="6" width="8.5" style="5" customWidth="1"/>
    <col min="7" max="7" width="11.5" style="5" customWidth="1"/>
    <col min="8" max="8" width="16.1640625" style="5" customWidth="1"/>
    <col min="9" max="9" width="14.33203125" style="5" customWidth="1"/>
    <col min="10" max="10" width="30.83203125" style="5" customWidth="1"/>
    <col min="11" max="11" width="11.83203125" style="5" customWidth="1"/>
    <col min="12" max="12" width="15" style="5" customWidth="1"/>
    <col min="13" max="13" width="16.1640625" style="5" customWidth="1"/>
    <col min="14" max="14" width="13" style="5" customWidth="1"/>
    <col min="15" max="16" width="14.1640625" style="5" customWidth="1"/>
    <col min="17" max="17" width="13" style="5" customWidth="1"/>
    <col min="18" max="18" width="29.33203125" style="5" customWidth="1"/>
    <col min="19" max="19" width="14.83203125" style="5" customWidth="1"/>
    <col min="20" max="20" width="15.83203125" style="5" customWidth="1"/>
    <col min="21" max="21" width="20.33203125" style="5" customWidth="1"/>
    <col min="22" max="22" width="20.1640625" style="5" customWidth="1"/>
    <col min="23" max="16384" width="8.83203125" style="5"/>
  </cols>
  <sheetData>
    <row r="1" spans="1:24" x14ac:dyDescent="0.2">
      <c r="B1" s="6" t="s">
        <v>10</v>
      </c>
      <c r="C1" s="6"/>
    </row>
    <row r="2" spans="1:24" ht="15.4" customHeight="1" x14ac:dyDescent="0.3">
      <c r="C2" s="8" t="s">
        <v>152</v>
      </c>
    </row>
    <row r="3" spans="1:24" x14ac:dyDescent="0.2">
      <c r="A3" s="2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4" ht="28.5" customHeight="1" x14ac:dyDescent="0.2">
      <c r="A4" s="192" t="s">
        <v>1</v>
      </c>
      <c r="B4" s="192" t="s">
        <v>36</v>
      </c>
      <c r="C4" s="193" t="s">
        <v>147</v>
      </c>
      <c r="D4" s="201" t="s">
        <v>4</v>
      </c>
      <c r="E4" s="201"/>
      <c r="F4" s="201"/>
      <c r="G4" s="201"/>
      <c r="H4" s="201"/>
      <c r="I4" s="201" t="s">
        <v>39</v>
      </c>
      <c r="J4" s="201"/>
      <c r="K4" s="201"/>
      <c r="L4" s="201"/>
      <c r="M4" s="201" t="s">
        <v>14</v>
      </c>
      <c r="N4" s="201"/>
      <c r="O4" s="201"/>
      <c r="P4" s="201"/>
      <c r="Q4" s="201" t="s">
        <v>43</v>
      </c>
      <c r="R4" s="201"/>
      <c r="S4" s="201"/>
      <c r="T4" s="201"/>
      <c r="U4" s="201" t="s">
        <v>12</v>
      </c>
      <c r="V4" s="201" t="s">
        <v>9</v>
      </c>
    </row>
    <row r="5" spans="1:24" ht="13.15" customHeight="1" x14ac:dyDescent="0.2">
      <c r="A5" s="192"/>
      <c r="B5" s="192"/>
      <c r="C5" s="193"/>
      <c r="D5" s="200" t="s">
        <v>26</v>
      </c>
      <c r="E5" s="200" t="s">
        <v>149</v>
      </c>
      <c r="F5" s="172"/>
      <c r="G5" s="200" t="s">
        <v>37</v>
      </c>
      <c r="H5" s="201" t="s">
        <v>13</v>
      </c>
      <c r="I5" s="200" t="s">
        <v>40</v>
      </c>
      <c r="J5" s="192" t="s">
        <v>45</v>
      </c>
      <c r="K5" s="200" t="s">
        <v>37</v>
      </c>
      <c r="L5" s="201" t="s">
        <v>13</v>
      </c>
      <c r="M5" s="200" t="s">
        <v>41</v>
      </c>
      <c r="N5" s="200" t="s">
        <v>28</v>
      </c>
      <c r="O5" s="200" t="s">
        <v>42</v>
      </c>
      <c r="P5" s="201" t="s">
        <v>13</v>
      </c>
      <c r="Q5" s="205" t="s">
        <v>40</v>
      </c>
      <c r="R5" s="192" t="s">
        <v>44</v>
      </c>
      <c r="S5" s="200" t="s">
        <v>42</v>
      </c>
      <c r="T5" s="201" t="s">
        <v>13</v>
      </c>
      <c r="U5" s="201"/>
      <c r="V5" s="201"/>
    </row>
    <row r="6" spans="1:24" ht="84" customHeight="1" x14ac:dyDescent="0.2">
      <c r="A6" s="192"/>
      <c r="B6" s="192"/>
      <c r="C6" s="193"/>
      <c r="D6" s="200"/>
      <c r="E6" s="200"/>
      <c r="F6" s="172"/>
      <c r="G6" s="200"/>
      <c r="H6" s="201"/>
      <c r="I6" s="200"/>
      <c r="J6" s="192"/>
      <c r="K6" s="200"/>
      <c r="L6" s="201"/>
      <c r="M6" s="200"/>
      <c r="N6" s="200"/>
      <c r="O6" s="200"/>
      <c r="P6" s="201"/>
      <c r="Q6" s="205"/>
      <c r="R6" s="192"/>
      <c r="S6" s="200"/>
      <c r="T6" s="201"/>
      <c r="U6" s="201"/>
      <c r="V6" s="201"/>
    </row>
    <row r="7" spans="1:24" s="24" customFormat="1" ht="28.5" customHeight="1" x14ac:dyDescent="0.2">
      <c r="A7" s="204" t="s">
        <v>34</v>
      </c>
      <c r="B7" s="204"/>
      <c r="C7" s="20" t="s">
        <v>148</v>
      </c>
      <c r="D7" s="88">
        <v>2</v>
      </c>
      <c r="E7" s="88">
        <v>3</v>
      </c>
      <c r="F7" s="88"/>
      <c r="G7" s="88">
        <v>4</v>
      </c>
      <c r="H7" s="88" t="s">
        <v>38</v>
      </c>
      <c r="I7" s="88">
        <v>6</v>
      </c>
      <c r="J7" s="88">
        <v>7</v>
      </c>
      <c r="K7" s="88">
        <v>8</v>
      </c>
      <c r="L7" s="88" t="s">
        <v>80</v>
      </c>
      <c r="M7" s="88">
        <v>10</v>
      </c>
      <c r="N7" s="88">
        <v>11</v>
      </c>
      <c r="O7" s="88">
        <v>12</v>
      </c>
      <c r="P7" s="88" t="s">
        <v>81</v>
      </c>
      <c r="Q7" s="88">
        <v>14</v>
      </c>
      <c r="R7" s="88">
        <v>15</v>
      </c>
      <c r="S7" s="88">
        <v>16</v>
      </c>
      <c r="T7" s="88" t="s">
        <v>82</v>
      </c>
      <c r="U7" s="89" t="s">
        <v>83</v>
      </c>
      <c r="V7" s="90" t="s">
        <v>84</v>
      </c>
    </row>
    <row r="8" spans="1:24" s="24" customFormat="1" ht="13.5" x14ac:dyDescent="0.25">
      <c r="A8" s="203"/>
      <c r="B8" s="203"/>
      <c r="C8" s="122" t="s">
        <v>33</v>
      </c>
      <c r="D8" s="34"/>
      <c r="E8" s="122"/>
      <c r="F8" s="122"/>
      <c r="G8" s="122" t="s">
        <v>27</v>
      </c>
      <c r="H8" s="34"/>
      <c r="I8" s="34"/>
      <c r="J8" s="34"/>
      <c r="K8" s="122" t="s">
        <v>27</v>
      </c>
      <c r="L8" s="28"/>
      <c r="M8" s="34"/>
      <c r="N8" s="122" t="s">
        <v>27</v>
      </c>
      <c r="O8" s="122" t="s">
        <v>27</v>
      </c>
      <c r="P8" s="34"/>
      <c r="Q8" s="34"/>
      <c r="R8" s="34"/>
      <c r="S8" s="122" t="s">
        <v>27</v>
      </c>
      <c r="T8" s="34"/>
      <c r="U8" s="28"/>
      <c r="V8" s="29" t="s">
        <v>6</v>
      </c>
    </row>
    <row r="9" spans="1:24" s="24" customFormat="1" ht="22.5" customHeight="1" x14ac:dyDescent="0.25">
      <c r="A9" s="30" t="s">
        <v>25</v>
      </c>
      <c r="B9" s="51" t="s">
        <v>143</v>
      </c>
      <c r="C9" s="117">
        <v>6783</v>
      </c>
      <c r="D9" s="128">
        <v>627945</v>
      </c>
      <c r="E9" s="141">
        <v>0.14410000000000001</v>
      </c>
      <c r="F9" s="141"/>
      <c r="G9" s="169">
        <v>0.1</v>
      </c>
      <c r="H9" s="156">
        <f>ROUND(D9*G9*E9,0)</f>
        <v>9049</v>
      </c>
      <c r="I9" s="154">
        <v>4167</v>
      </c>
      <c r="J9" s="138"/>
      <c r="K9" s="142">
        <v>1</v>
      </c>
      <c r="L9" s="156">
        <f>ROUND((I9+J9)*K9,0)</f>
        <v>4167</v>
      </c>
      <c r="M9" s="186">
        <v>33595</v>
      </c>
      <c r="N9" s="142">
        <v>0.06</v>
      </c>
      <c r="O9" s="142">
        <v>0.5</v>
      </c>
      <c r="P9" s="156">
        <f>ROUND(M9*N9*O9,0)</f>
        <v>1008</v>
      </c>
      <c r="Q9" s="154">
        <v>6796</v>
      </c>
      <c r="R9" s="173"/>
      <c r="S9" s="169">
        <v>1</v>
      </c>
      <c r="T9" s="156">
        <f>ROUND((Q9+R9)*S9,0)</f>
        <v>6796</v>
      </c>
      <c r="U9" s="156">
        <f>H9+L9+P9+T9</f>
        <v>21020</v>
      </c>
      <c r="V9" s="171">
        <f>ROUND((U9/C9)/($U$13/$C$13),5)</f>
        <v>1.65469</v>
      </c>
      <c r="W9" s="31"/>
      <c r="X9" s="32"/>
    </row>
    <row r="10" spans="1:24" s="24" customFormat="1" ht="22.5" customHeight="1" x14ac:dyDescent="0.25">
      <c r="A10" s="30" t="s">
        <v>22</v>
      </c>
      <c r="B10" s="59" t="s">
        <v>144</v>
      </c>
      <c r="C10" s="117">
        <v>3533</v>
      </c>
      <c r="D10" s="128">
        <v>89233</v>
      </c>
      <c r="E10" s="189">
        <v>0.1767</v>
      </c>
      <c r="F10" s="137"/>
      <c r="G10" s="169">
        <v>0.02</v>
      </c>
      <c r="H10" s="156">
        <f t="shared" ref="H10:H12" si="0">ROUND(D10*G10*E10,2)</f>
        <v>315.35000000000002</v>
      </c>
      <c r="I10" s="154">
        <v>333</v>
      </c>
      <c r="J10" s="138"/>
      <c r="K10" s="142">
        <v>1</v>
      </c>
      <c r="L10" s="156">
        <f t="shared" ref="L10:L12" si="1">ROUND((I10+J10)*K10,0)</f>
        <v>333</v>
      </c>
      <c r="M10" s="187">
        <v>4630</v>
      </c>
      <c r="N10" s="142">
        <v>0.06</v>
      </c>
      <c r="O10" s="142">
        <v>0.3</v>
      </c>
      <c r="P10" s="156">
        <f t="shared" ref="P10:P12" si="2">ROUND(M10*N10*O10,0)</f>
        <v>83</v>
      </c>
      <c r="Q10" s="154">
        <v>2963</v>
      </c>
      <c r="R10" s="173"/>
      <c r="S10" s="169">
        <v>1</v>
      </c>
      <c r="T10" s="156">
        <f t="shared" ref="T10:T12" si="3">ROUND((Q10+R10)*S10,0)</f>
        <v>2963</v>
      </c>
      <c r="U10" s="156">
        <f t="shared" ref="U10:U12" si="4">H10+L10+P10+T10</f>
        <v>3694.35</v>
      </c>
      <c r="V10" s="171">
        <f>ROUND((U10/C10)/($U$13/$C$13),5)</f>
        <v>0.55833999999999995</v>
      </c>
      <c r="W10" s="31"/>
      <c r="X10" s="32"/>
    </row>
    <row r="11" spans="1:24" s="24" customFormat="1" ht="22.5" customHeight="1" x14ac:dyDescent="0.25">
      <c r="A11" s="30" t="s">
        <v>24</v>
      </c>
      <c r="B11" s="59" t="s">
        <v>145</v>
      </c>
      <c r="C11" s="117">
        <v>2684</v>
      </c>
      <c r="D11" s="128">
        <v>56145</v>
      </c>
      <c r="E11" s="189">
        <v>0.1767</v>
      </c>
      <c r="F11" s="137"/>
      <c r="G11" s="169">
        <v>0.02</v>
      </c>
      <c r="H11" s="156">
        <f t="shared" si="0"/>
        <v>198.42</v>
      </c>
      <c r="I11" s="154">
        <v>264</v>
      </c>
      <c r="J11" s="138"/>
      <c r="K11" s="142">
        <v>1</v>
      </c>
      <c r="L11" s="156">
        <f t="shared" si="1"/>
        <v>264</v>
      </c>
      <c r="M11" s="187">
        <v>2410</v>
      </c>
      <c r="N11" s="142">
        <v>0.06</v>
      </c>
      <c r="O11" s="142">
        <v>0.3</v>
      </c>
      <c r="P11" s="156">
        <f t="shared" si="2"/>
        <v>43</v>
      </c>
      <c r="Q11" s="154">
        <v>1856</v>
      </c>
      <c r="R11" s="173"/>
      <c r="S11" s="169">
        <v>1</v>
      </c>
      <c r="T11" s="156">
        <f t="shared" si="3"/>
        <v>1856</v>
      </c>
      <c r="U11" s="156">
        <f t="shared" si="4"/>
        <v>2361.42</v>
      </c>
      <c r="V11" s="171">
        <f>ROUND((U11/C11)/($U$13/$C$13),5)</f>
        <v>0.46977999999999998</v>
      </c>
      <c r="W11" s="31"/>
      <c r="X11" s="32"/>
    </row>
    <row r="12" spans="1:24" s="24" customFormat="1" ht="22.5" customHeight="1" x14ac:dyDescent="0.25">
      <c r="A12" s="30" t="s">
        <v>23</v>
      </c>
      <c r="B12" s="59" t="s">
        <v>146</v>
      </c>
      <c r="C12" s="117">
        <v>2435</v>
      </c>
      <c r="D12" s="128">
        <v>35677</v>
      </c>
      <c r="E12" s="189">
        <v>0.1767</v>
      </c>
      <c r="F12" s="137"/>
      <c r="G12" s="169">
        <v>0.02</v>
      </c>
      <c r="H12" s="156">
        <f t="shared" si="0"/>
        <v>126.08</v>
      </c>
      <c r="I12" s="154">
        <v>195</v>
      </c>
      <c r="J12" s="138"/>
      <c r="K12" s="142">
        <v>1</v>
      </c>
      <c r="L12" s="156">
        <f t="shared" si="1"/>
        <v>195</v>
      </c>
      <c r="M12" s="187">
        <v>940</v>
      </c>
      <c r="N12" s="142">
        <v>0.06</v>
      </c>
      <c r="O12" s="142">
        <v>0.3</v>
      </c>
      <c r="P12" s="156">
        <f t="shared" si="2"/>
        <v>17</v>
      </c>
      <c r="Q12" s="154">
        <v>1493</v>
      </c>
      <c r="R12" s="173"/>
      <c r="S12" s="169">
        <v>1</v>
      </c>
      <c r="T12" s="156">
        <f t="shared" si="3"/>
        <v>1493</v>
      </c>
      <c r="U12" s="156">
        <f t="shared" si="4"/>
        <v>1831.08</v>
      </c>
      <c r="V12" s="171">
        <f>ROUND((U12/C12)/($U$13/$C$13),5)</f>
        <v>0.40153</v>
      </c>
      <c r="W12" s="31"/>
      <c r="X12" s="32"/>
    </row>
    <row r="13" spans="1:24" s="91" customFormat="1" ht="22.5" customHeight="1" x14ac:dyDescent="0.25">
      <c r="A13" s="202" t="s">
        <v>0</v>
      </c>
      <c r="B13" s="202"/>
      <c r="C13" s="129">
        <f>SUM(C9:C12)</f>
        <v>15435</v>
      </c>
      <c r="D13" s="129">
        <f>SUM(D9:D12)</f>
        <v>809000</v>
      </c>
      <c r="E13" s="139" t="s">
        <v>5</v>
      </c>
      <c r="F13" s="139"/>
      <c r="G13" s="170" t="s">
        <v>5</v>
      </c>
      <c r="H13" s="155">
        <f>SUM(H9:H12)</f>
        <v>9688.85</v>
      </c>
      <c r="I13" s="155">
        <f>SUM(I9:I12)</f>
        <v>4959</v>
      </c>
      <c r="J13" s="134">
        <f>SUM(J9:J12)</f>
        <v>0</v>
      </c>
      <c r="K13" s="143" t="s">
        <v>5</v>
      </c>
      <c r="L13" s="155">
        <f>SUM(L9:L12)</f>
        <v>4959</v>
      </c>
      <c r="M13" s="155">
        <f>SUM(M9:M12)</f>
        <v>41575</v>
      </c>
      <c r="N13" s="143" t="s">
        <v>5</v>
      </c>
      <c r="O13" s="143" t="s">
        <v>5</v>
      </c>
      <c r="P13" s="155">
        <f>SUM(P9:P12)</f>
        <v>1151</v>
      </c>
      <c r="Q13" s="157">
        <f>SUM(Q9:Q12)</f>
        <v>13108</v>
      </c>
      <c r="R13" s="174">
        <f>SUM(R9:R12)</f>
        <v>0</v>
      </c>
      <c r="S13" s="170" t="s">
        <v>5</v>
      </c>
      <c r="T13" s="155">
        <f>SUM(T9:T12)</f>
        <v>13108</v>
      </c>
      <c r="U13" s="155">
        <f>SUM(U9:U12)</f>
        <v>28906.85</v>
      </c>
      <c r="V13" s="168">
        <f t="shared" ref="V13" si="5">(U13/C13)/($U$13/$C$13)</f>
        <v>1</v>
      </c>
    </row>
    <row r="14" spans="1:24" s="91" customFormat="1" ht="22.5" customHeight="1" x14ac:dyDescent="0.25">
      <c r="A14" s="176"/>
      <c r="B14" s="176"/>
      <c r="C14" s="177"/>
      <c r="D14" s="177"/>
      <c r="E14" s="178"/>
      <c r="F14" s="178"/>
      <c r="G14" s="179"/>
      <c r="H14" s="180"/>
      <c r="I14" s="180"/>
      <c r="J14" s="181"/>
      <c r="K14" s="182"/>
      <c r="L14" s="180"/>
      <c r="M14" s="180"/>
      <c r="N14" s="178"/>
      <c r="O14" s="182"/>
      <c r="P14" s="180"/>
      <c r="Q14" s="183"/>
      <c r="R14" s="184"/>
      <c r="S14" s="179"/>
      <c r="T14" s="180"/>
      <c r="U14" s="180"/>
      <c r="V14" s="185"/>
    </row>
    <row r="15" spans="1:24" s="135" customFormat="1" ht="34.5" customHeight="1" x14ac:dyDescent="0.2">
      <c r="D15" s="135" t="s">
        <v>156</v>
      </c>
      <c r="E15" s="135" t="s">
        <v>157</v>
      </c>
      <c r="F15" s="135" t="s">
        <v>158</v>
      </c>
      <c r="G15" s="135" t="s">
        <v>159</v>
      </c>
    </row>
    <row r="16" spans="1:24" s="24" customFormat="1" x14ac:dyDescent="0.2">
      <c r="A16" s="33"/>
      <c r="B16" s="33"/>
      <c r="C16" s="33"/>
      <c r="D16" s="33">
        <v>551100</v>
      </c>
      <c r="E16" s="33">
        <v>7621</v>
      </c>
      <c r="F16" s="33">
        <f>E16/10*100</f>
        <v>76210</v>
      </c>
      <c r="G16" s="33">
        <f>F16/D16*100</f>
        <v>13.828706223915804</v>
      </c>
      <c r="H16" s="33"/>
      <c r="I16" s="33"/>
      <c r="J16" s="33"/>
      <c r="K16" s="33"/>
      <c r="L16" s="33"/>
      <c r="M16" s="175"/>
      <c r="N16" s="33" t="s">
        <v>161</v>
      </c>
      <c r="O16" s="33">
        <v>2025</v>
      </c>
      <c r="P16" s="33"/>
      <c r="Q16" s="33"/>
      <c r="R16" s="33"/>
      <c r="S16" s="33"/>
      <c r="T16" s="33"/>
    </row>
    <row r="17" spans="1:20" s="24" customFormat="1" ht="15.75" x14ac:dyDescent="0.25">
      <c r="A17" s="33"/>
      <c r="B17" s="33"/>
      <c r="C17" s="33"/>
      <c r="D17" s="33">
        <v>78300</v>
      </c>
      <c r="E17" s="33">
        <v>216.7</v>
      </c>
      <c r="F17" s="33">
        <f>E17/2*100</f>
        <v>10835</v>
      </c>
      <c r="G17" s="33">
        <f t="shared" ref="G17:G20" si="6">F17/D17*100</f>
        <v>13.837803320561942</v>
      </c>
      <c r="H17" s="33"/>
      <c r="I17" s="33"/>
      <c r="J17" s="33"/>
      <c r="K17" s="33"/>
      <c r="L17" s="33"/>
      <c r="M17" s="186">
        <v>31134</v>
      </c>
      <c r="N17" s="33"/>
      <c r="O17" s="33">
        <v>33595</v>
      </c>
      <c r="P17" s="33"/>
      <c r="Q17" s="33"/>
      <c r="R17" s="33"/>
      <c r="S17" s="33"/>
      <c r="T17" s="33"/>
    </row>
    <row r="18" spans="1:20" s="24" customFormat="1" ht="15.75" x14ac:dyDescent="0.25">
      <c r="A18" s="33"/>
      <c r="B18" s="33"/>
      <c r="C18" s="33"/>
      <c r="D18" s="33">
        <v>49300</v>
      </c>
      <c r="E18" s="33">
        <v>136.5</v>
      </c>
      <c r="F18" s="33">
        <f t="shared" ref="F18:F19" si="7">E18/2*100</f>
        <v>6825</v>
      </c>
      <c r="G18" s="33">
        <f t="shared" si="6"/>
        <v>13.843813387423934</v>
      </c>
      <c r="H18" s="33"/>
      <c r="I18" s="33"/>
      <c r="J18" s="33"/>
      <c r="K18" s="33"/>
      <c r="L18" s="33"/>
      <c r="M18" s="187">
        <v>829</v>
      </c>
      <c r="N18" s="33">
        <f>ROUND(M18/M21*100,2)</f>
        <v>11.78</v>
      </c>
      <c r="O18" s="33">
        <f>O21*N18/100</f>
        <v>940.04399999999998</v>
      </c>
      <c r="P18" s="33"/>
      <c r="Q18" s="33"/>
      <c r="R18" s="33"/>
      <c r="S18" s="33"/>
      <c r="T18" s="33"/>
    </row>
    <row r="19" spans="1:20" s="24" customFormat="1" ht="15.75" x14ac:dyDescent="0.25">
      <c r="A19" s="33"/>
      <c r="B19" s="33"/>
      <c r="C19" s="33"/>
      <c r="D19" s="33">
        <v>31300</v>
      </c>
      <c r="E19" s="33">
        <v>86.7</v>
      </c>
      <c r="F19" s="33">
        <f t="shared" si="7"/>
        <v>4335</v>
      </c>
      <c r="G19" s="33">
        <f t="shared" si="6"/>
        <v>13.849840255591053</v>
      </c>
      <c r="H19" s="33"/>
      <c r="I19" s="33"/>
      <c r="J19" s="33"/>
      <c r="K19" s="33"/>
      <c r="L19" s="33"/>
      <c r="M19" s="187">
        <v>2125</v>
      </c>
      <c r="N19" s="33">
        <f>ROUND(M19/M21*100,2)</f>
        <v>30.2</v>
      </c>
      <c r="O19" s="33">
        <f>O21*N19/100</f>
        <v>2409.96</v>
      </c>
      <c r="P19" s="33"/>
      <c r="Q19" s="33"/>
      <c r="R19" s="33"/>
      <c r="S19" s="33"/>
      <c r="T19" s="33"/>
    </row>
    <row r="20" spans="1:20" s="24" customFormat="1" ht="15.75" x14ac:dyDescent="0.25">
      <c r="A20" s="33"/>
      <c r="B20" s="33"/>
      <c r="C20" s="33"/>
      <c r="D20" s="33">
        <f>SUM(D16:D19)</f>
        <v>710000</v>
      </c>
      <c r="E20" s="33">
        <f>SUM(E16:E19)</f>
        <v>8060.9</v>
      </c>
      <c r="F20" s="33">
        <f>SUM(F16:F19)</f>
        <v>98205</v>
      </c>
      <c r="G20" s="33">
        <f t="shared" si="6"/>
        <v>13.831690140845071</v>
      </c>
      <c r="H20" s="33"/>
      <c r="I20" s="33"/>
      <c r="J20" s="33"/>
      <c r="K20" s="33"/>
      <c r="L20" s="33"/>
      <c r="M20" s="187">
        <v>4082</v>
      </c>
      <c r="N20" s="33">
        <f>ROUND(M20/M21*100,2)</f>
        <v>58.02</v>
      </c>
      <c r="O20" s="33">
        <f>O21*N20/100</f>
        <v>4629.9960000000001</v>
      </c>
      <c r="P20" s="33"/>
      <c r="Q20" s="33"/>
      <c r="R20" s="33"/>
      <c r="S20" s="33"/>
      <c r="T20" s="33"/>
    </row>
    <row r="21" spans="1:20" s="24" customFormat="1" ht="25.5" x14ac:dyDescent="0.2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 t="s">
        <v>160</v>
      </c>
      <c r="M21" s="188">
        <f>SUM(M18:M20)</f>
        <v>7036</v>
      </c>
      <c r="N21" s="33">
        <v>100</v>
      </c>
      <c r="O21" s="33">
        <v>7980</v>
      </c>
      <c r="P21" s="33"/>
      <c r="Q21" s="33"/>
      <c r="R21" s="33"/>
      <c r="S21" s="33"/>
      <c r="T21" s="33"/>
    </row>
    <row r="22" spans="1:20" s="24" customFormat="1" x14ac:dyDescent="0.2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175"/>
      <c r="N22" s="33"/>
      <c r="O22" s="33"/>
      <c r="P22" s="33"/>
      <c r="Q22" s="33"/>
      <c r="R22" s="33"/>
      <c r="S22" s="33"/>
      <c r="T22" s="33"/>
    </row>
    <row r="23" spans="1:20" s="24" customFormat="1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175"/>
      <c r="L23" s="33"/>
      <c r="M23" s="33"/>
      <c r="N23" s="33"/>
      <c r="O23" s="33"/>
      <c r="P23" s="33"/>
      <c r="Q23" s="33"/>
      <c r="R23" s="33"/>
      <c r="S23" s="33"/>
      <c r="T23" s="33"/>
    </row>
    <row r="24" spans="1:20" s="24" customFormat="1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</row>
    <row r="25" spans="1:20" s="24" customForma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</row>
    <row r="26" spans="1:20" s="24" customForma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</row>
    <row r="27" spans="1:20" s="24" customFormat="1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</row>
    <row r="28" spans="1:20" s="24" customFormat="1" x14ac:dyDescent="0.2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</row>
    <row r="29" spans="1:20" s="24" customFormat="1" x14ac:dyDescent="0.2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</row>
    <row r="30" spans="1:20" s="24" customFormat="1" x14ac:dyDescent="0.2"/>
    <row r="31" spans="1:20" s="24" customFormat="1" x14ac:dyDescent="0.2"/>
    <row r="32" spans="1:20" s="24" customFormat="1" x14ac:dyDescent="0.2"/>
    <row r="33" s="24" customFormat="1" x14ac:dyDescent="0.2"/>
    <row r="34" s="24" customFormat="1" x14ac:dyDescent="0.2"/>
    <row r="35" s="24" customFormat="1" x14ac:dyDescent="0.2"/>
    <row r="36" s="24" customFormat="1" x14ac:dyDescent="0.2"/>
    <row r="37" s="24" customFormat="1" x14ac:dyDescent="0.2"/>
    <row r="38" s="24" customFormat="1" x14ac:dyDescent="0.2"/>
    <row r="39" s="24" customFormat="1" x14ac:dyDescent="0.2"/>
  </sheetData>
  <mergeCells count="28">
    <mergeCell ref="S5:S6"/>
    <mergeCell ref="U4:U6"/>
    <mergeCell ref="V4:V6"/>
    <mergeCell ref="A13:B13"/>
    <mergeCell ref="A8:B8"/>
    <mergeCell ref="A4:A6"/>
    <mergeCell ref="C4:C6"/>
    <mergeCell ref="A7:B7"/>
    <mergeCell ref="B4:B6"/>
    <mergeCell ref="H5:H6"/>
    <mergeCell ref="Q4:T4"/>
    <mergeCell ref="Q5:Q6"/>
    <mergeCell ref="R5:R6"/>
    <mergeCell ref="T5:T6"/>
    <mergeCell ref="D4:H4"/>
    <mergeCell ref="I5:I6"/>
    <mergeCell ref="I4:L4"/>
    <mergeCell ref="J5:J6"/>
    <mergeCell ref="M4:P4"/>
    <mergeCell ref="M5:M6"/>
    <mergeCell ref="P5:P6"/>
    <mergeCell ref="K5:K6"/>
    <mergeCell ref="G5:G6"/>
    <mergeCell ref="D5:D6"/>
    <mergeCell ref="E5:E6"/>
    <mergeCell ref="O5:O6"/>
    <mergeCell ref="N5:N6"/>
    <mergeCell ref="L5:L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6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0"/>
  <sheetViews>
    <sheetView zoomScale="81" zoomScaleNormal="81" zoomScaleSheetLayoutView="70" workbookViewId="0">
      <pane xSplit="3" topLeftCell="D1" activePane="topRight" state="frozenSplit"/>
      <selection activeCell="A4" sqref="A4"/>
      <selection pane="topRight" activeCell="AK11" sqref="AK11:AK12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6.83203125" style="1" customWidth="1"/>
    <col min="5" max="5" width="14.6640625" style="1" customWidth="1"/>
    <col min="6" max="6" width="0.1640625" style="1" customWidth="1"/>
    <col min="7" max="7" width="19" style="1" hidden="1" customWidth="1"/>
    <col min="8" max="8" width="16" style="1" hidden="1" customWidth="1"/>
    <col min="9" max="9" width="18.1640625" style="1" hidden="1" customWidth="1"/>
    <col min="10" max="10" width="17.83203125" style="1" hidden="1" customWidth="1"/>
    <col min="11" max="11" width="19.83203125" style="1" hidden="1" customWidth="1"/>
    <col min="12" max="12" width="29.1640625" style="1" hidden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17" width="14.5" style="1" customWidth="1"/>
    <col min="18" max="18" width="16.6640625" style="1" customWidth="1"/>
    <col min="19" max="20" width="16.83203125" style="1" customWidth="1"/>
    <col min="21" max="21" width="11.33203125" style="1" customWidth="1"/>
    <col min="22" max="22" width="14" style="1" customWidth="1"/>
    <col min="23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0.1640625" style="1" customWidth="1"/>
    <col min="32" max="32" width="0.1640625" style="1" hidden="1" customWidth="1"/>
    <col min="33" max="33" width="10.5" style="1" hidden="1" customWidth="1"/>
    <col min="34" max="34" width="16.6640625" style="1" hidden="1" customWidth="1"/>
    <col min="35" max="35" width="10.33203125" style="1" hidden="1" customWidth="1"/>
    <col min="36" max="36" width="18.1640625" style="5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11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6"/>
    </row>
    <row r="2" spans="1:52" ht="18.75" x14ac:dyDescent="0.3">
      <c r="B2" s="37"/>
      <c r="C2" s="8" t="s">
        <v>154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7"/>
      <c r="AQ2" s="37"/>
      <c r="AR2" s="37"/>
    </row>
    <row r="3" spans="1:52" ht="13.15" customHeight="1" x14ac:dyDescent="0.25">
      <c r="A3" s="2" t="s">
        <v>7</v>
      </c>
      <c r="B3" s="38"/>
      <c r="C3" s="39"/>
      <c r="D3" s="39"/>
      <c r="E3" s="113">
        <v>1</v>
      </c>
      <c r="F3" s="39"/>
      <c r="G3" s="39"/>
      <c r="H3" s="39"/>
      <c r="I3" s="113">
        <f>E3+1</f>
        <v>2</v>
      </c>
      <c r="J3" s="38"/>
      <c r="K3" s="38"/>
      <c r="L3" s="113">
        <f>I3+1</f>
        <v>3</v>
      </c>
      <c r="M3" s="39"/>
      <c r="N3" s="113">
        <f>L3+1</f>
        <v>4</v>
      </c>
      <c r="O3" s="39"/>
      <c r="P3" s="113">
        <f>N3+1</f>
        <v>5</v>
      </c>
      <c r="Q3" s="39"/>
      <c r="R3" s="113">
        <f>P3+1</f>
        <v>6</v>
      </c>
      <c r="S3" s="39"/>
      <c r="T3" s="113">
        <f>R3+1</f>
        <v>7</v>
      </c>
      <c r="U3" s="39"/>
      <c r="V3" s="113">
        <f>T3+1</f>
        <v>8</v>
      </c>
      <c r="W3" s="39"/>
      <c r="X3" s="113">
        <f>V3+1</f>
        <v>9</v>
      </c>
      <c r="Y3" s="39"/>
      <c r="Z3" s="113">
        <f>X3+1</f>
        <v>10</v>
      </c>
      <c r="AA3" s="39"/>
      <c r="AB3" s="113">
        <f>Z3+1</f>
        <v>11</v>
      </c>
      <c r="AC3" s="39"/>
      <c r="AD3" s="113">
        <f>AB3+1</f>
        <v>12</v>
      </c>
      <c r="AE3" s="113">
        <f>AD3+1</f>
        <v>13</v>
      </c>
      <c r="AF3" s="113">
        <f>AE3+1</f>
        <v>14</v>
      </c>
      <c r="AG3" s="39"/>
      <c r="AH3" s="39"/>
      <c r="AI3" s="113">
        <f>AF3+1</f>
        <v>15</v>
      </c>
      <c r="AJ3" s="39"/>
      <c r="AK3" s="39"/>
      <c r="AL3" s="113">
        <f>AI3+1</f>
        <v>16</v>
      </c>
      <c r="AM3" s="40"/>
      <c r="AN3" s="40"/>
      <c r="AO3" s="113">
        <f>AL3+1</f>
        <v>17</v>
      </c>
    </row>
    <row r="4" spans="1:52" ht="13.15" customHeight="1" x14ac:dyDescent="0.2">
      <c r="A4" s="192" t="s">
        <v>1</v>
      </c>
      <c r="B4" s="192" t="s">
        <v>2</v>
      </c>
      <c r="C4" s="206" t="s">
        <v>155</v>
      </c>
      <c r="D4" s="193" t="s">
        <v>135</v>
      </c>
      <c r="E4" s="206" t="s">
        <v>96</v>
      </c>
      <c r="F4" s="193" t="s">
        <v>97</v>
      </c>
      <c r="G4" s="193" t="s">
        <v>99</v>
      </c>
      <c r="H4" s="193" t="s">
        <v>136</v>
      </c>
      <c r="I4" s="206" t="s">
        <v>98</v>
      </c>
      <c r="J4" s="193" t="s">
        <v>100</v>
      </c>
      <c r="K4" s="193" t="s">
        <v>137</v>
      </c>
      <c r="L4" s="206" t="s">
        <v>102</v>
      </c>
      <c r="M4" s="193" t="s">
        <v>135</v>
      </c>
      <c r="N4" s="206" t="s">
        <v>87</v>
      </c>
      <c r="O4" s="193" t="s">
        <v>135</v>
      </c>
      <c r="P4" s="206" t="s">
        <v>101</v>
      </c>
      <c r="Q4" s="193" t="s">
        <v>135</v>
      </c>
      <c r="R4" s="206" t="s">
        <v>103</v>
      </c>
      <c r="S4" s="193" t="s">
        <v>135</v>
      </c>
      <c r="T4" s="206" t="s">
        <v>55</v>
      </c>
      <c r="U4" s="193" t="s">
        <v>135</v>
      </c>
      <c r="V4" s="206" t="s">
        <v>150</v>
      </c>
      <c r="W4" s="193" t="s">
        <v>135</v>
      </c>
      <c r="X4" s="206" t="s">
        <v>104</v>
      </c>
      <c r="Y4" s="193" t="s">
        <v>135</v>
      </c>
      <c r="Z4" s="206" t="s">
        <v>105</v>
      </c>
      <c r="AA4" s="193" t="s">
        <v>135</v>
      </c>
      <c r="AB4" s="206" t="s">
        <v>106</v>
      </c>
      <c r="AC4" s="193" t="s">
        <v>135</v>
      </c>
      <c r="AD4" s="206" t="s">
        <v>107</v>
      </c>
      <c r="AE4" s="206" t="s">
        <v>108</v>
      </c>
      <c r="AF4" s="206" t="s">
        <v>109</v>
      </c>
      <c r="AG4" s="193" t="s">
        <v>111</v>
      </c>
      <c r="AH4" s="193" t="s">
        <v>138</v>
      </c>
      <c r="AI4" s="206" t="s">
        <v>110</v>
      </c>
      <c r="AJ4" s="193" t="s">
        <v>115</v>
      </c>
      <c r="AK4" s="193" t="s">
        <v>56</v>
      </c>
      <c r="AL4" s="206" t="s">
        <v>112</v>
      </c>
      <c r="AM4" s="193" t="s">
        <v>114</v>
      </c>
      <c r="AN4" s="193" t="s">
        <v>139</v>
      </c>
      <c r="AO4" s="206" t="s">
        <v>113</v>
      </c>
      <c r="AP4" s="206" t="s">
        <v>57</v>
      </c>
      <c r="AQ4" s="206" t="s">
        <v>8</v>
      </c>
      <c r="AR4" s="206" t="s">
        <v>29</v>
      </c>
    </row>
    <row r="5" spans="1:52" ht="13.15" customHeight="1" x14ac:dyDescent="0.2">
      <c r="A5" s="192"/>
      <c r="B5" s="207"/>
      <c r="C5" s="206"/>
      <c r="D5" s="193"/>
      <c r="E5" s="206"/>
      <c r="F5" s="193"/>
      <c r="G5" s="193"/>
      <c r="H5" s="193"/>
      <c r="I5" s="206"/>
      <c r="J5" s="193"/>
      <c r="K5" s="193"/>
      <c r="L5" s="206"/>
      <c r="M5" s="193"/>
      <c r="N5" s="206"/>
      <c r="O5" s="193"/>
      <c r="P5" s="206"/>
      <c r="Q5" s="193"/>
      <c r="R5" s="206"/>
      <c r="S5" s="193"/>
      <c r="T5" s="206"/>
      <c r="U5" s="193"/>
      <c r="V5" s="206"/>
      <c r="W5" s="193"/>
      <c r="X5" s="206"/>
      <c r="Y5" s="193"/>
      <c r="Z5" s="206"/>
      <c r="AA5" s="193"/>
      <c r="AB5" s="206"/>
      <c r="AC5" s="193"/>
      <c r="AD5" s="206"/>
      <c r="AE5" s="206"/>
      <c r="AF5" s="206"/>
      <c r="AG5" s="193"/>
      <c r="AH5" s="193"/>
      <c r="AI5" s="206"/>
      <c r="AJ5" s="193"/>
      <c r="AK5" s="193"/>
      <c r="AL5" s="206"/>
      <c r="AM5" s="193"/>
      <c r="AN5" s="193"/>
      <c r="AO5" s="206"/>
      <c r="AP5" s="206"/>
      <c r="AQ5" s="206"/>
      <c r="AR5" s="206"/>
    </row>
    <row r="6" spans="1:52" ht="152.25" customHeight="1" x14ac:dyDescent="0.2">
      <c r="A6" s="192"/>
      <c r="B6" s="192"/>
      <c r="C6" s="206"/>
      <c r="D6" s="193"/>
      <c r="E6" s="206"/>
      <c r="F6" s="193"/>
      <c r="G6" s="193"/>
      <c r="H6" s="193"/>
      <c r="I6" s="206"/>
      <c r="J6" s="193"/>
      <c r="K6" s="193"/>
      <c r="L6" s="206"/>
      <c r="M6" s="193"/>
      <c r="N6" s="206"/>
      <c r="O6" s="193"/>
      <c r="P6" s="206"/>
      <c r="Q6" s="193"/>
      <c r="R6" s="206"/>
      <c r="S6" s="193"/>
      <c r="T6" s="206"/>
      <c r="U6" s="193"/>
      <c r="V6" s="206"/>
      <c r="W6" s="193"/>
      <c r="X6" s="206"/>
      <c r="Y6" s="193"/>
      <c r="Z6" s="206"/>
      <c r="AA6" s="193"/>
      <c r="AB6" s="206"/>
      <c r="AC6" s="193"/>
      <c r="AD6" s="206"/>
      <c r="AE6" s="206"/>
      <c r="AF6" s="206"/>
      <c r="AG6" s="193"/>
      <c r="AH6" s="193"/>
      <c r="AI6" s="206"/>
      <c r="AJ6" s="193"/>
      <c r="AK6" s="193"/>
      <c r="AL6" s="206"/>
      <c r="AM6" s="193"/>
      <c r="AN6" s="193"/>
      <c r="AO6" s="206"/>
      <c r="AP6" s="206"/>
      <c r="AQ6" s="206"/>
      <c r="AR6" s="206"/>
      <c r="AT6" s="7"/>
    </row>
    <row r="7" spans="1:52" ht="15" x14ac:dyDescent="0.25">
      <c r="A7" s="209" t="s">
        <v>58</v>
      </c>
      <c r="B7" s="210"/>
      <c r="C7" s="127">
        <v>1</v>
      </c>
      <c r="D7" s="127">
        <v>2</v>
      </c>
      <c r="E7" s="127" t="s">
        <v>116</v>
      </c>
      <c r="F7" s="127" t="s">
        <v>117</v>
      </c>
      <c r="G7" s="120" t="s">
        <v>118</v>
      </c>
      <c r="H7" s="127">
        <v>6</v>
      </c>
      <c r="I7" s="127" t="s">
        <v>140</v>
      </c>
      <c r="J7" s="127">
        <v>8</v>
      </c>
      <c r="K7" s="127">
        <v>9</v>
      </c>
      <c r="L7" s="127" t="s">
        <v>119</v>
      </c>
      <c r="M7" s="127">
        <v>11</v>
      </c>
      <c r="N7" s="127" t="s">
        <v>120</v>
      </c>
      <c r="O7" s="127">
        <v>13</v>
      </c>
      <c r="P7" s="127" t="s">
        <v>121</v>
      </c>
      <c r="Q7" s="127">
        <v>15</v>
      </c>
      <c r="R7" s="127" t="s">
        <v>122</v>
      </c>
      <c r="S7" s="127">
        <v>17</v>
      </c>
      <c r="T7" s="127" t="s">
        <v>123</v>
      </c>
      <c r="U7" s="127">
        <v>19</v>
      </c>
      <c r="V7" s="127" t="s">
        <v>124</v>
      </c>
      <c r="W7" s="127">
        <v>21</v>
      </c>
      <c r="X7" s="127" t="s">
        <v>125</v>
      </c>
      <c r="Y7" s="127">
        <v>23</v>
      </c>
      <c r="Z7" s="127" t="s">
        <v>126</v>
      </c>
      <c r="AA7" s="127">
        <v>25</v>
      </c>
      <c r="AB7" s="127" t="s">
        <v>127</v>
      </c>
      <c r="AC7" s="127">
        <v>27</v>
      </c>
      <c r="AD7" s="127" t="s">
        <v>128</v>
      </c>
      <c r="AE7" s="127">
        <v>29</v>
      </c>
      <c r="AF7" s="127">
        <v>30</v>
      </c>
      <c r="AG7" s="127">
        <v>31</v>
      </c>
      <c r="AH7" s="127">
        <v>32</v>
      </c>
      <c r="AI7" s="127" t="s">
        <v>129</v>
      </c>
      <c r="AJ7" s="127">
        <v>34</v>
      </c>
      <c r="AK7" s="127">
        <v>35</v>
      </c>
      <c r="AL7" s="127" t="s">
        <v>130</v>
      </c>
      <c r="AM7" s="127">
        <v>37</v>
      </c>
      <c r="AN7" s="127">
        <v>38</v>
      </c>
      <c r="AO7" s="127" t="s">
        <v>131</v>
      </c>
      <c r="AP7" s="127" t="s">
        <v>132</v>
      </c>
      <c r="AQ7" s="127" t="s">
        <v>133</v>
      </c>
      <c r="AR7" s="121" t="s">
        <v>134</v>
      </c>
      <c r="AU7" s="130"/>
      <c r="AV7" s="130"/>
      <c r="AW7" s="130"/>
      <c r="AX7" s="130"/>
      <c r="AY7" s="131"/>
      <c r="AZ7" s="130"/>
    </row>
    <row r="8" spans="1:52" ht="15" x14ac:dyDescent="0.25">
      <c r="A8" s="208"/>
      <c r="B8" s="208"/>
      <c r="C8" s="122" t="s">
        <v>33</v>
      </c>
      <c r="D8" s="119"/>
      <c r="E8" s="123"/>
      <c r="F8" s="119"/>
      <c r="G8" s="119"/>
      <c r="H8" s="119"/>
      <c r="I8" s="123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27"/>
      <c r="AK8" s="119"/>
      <c r="AL8" s="119"/>
      <c r="AM8" s="124"/>
      <c r="AN8" s="127"/>
      <c r="AO8" s="124"/>
      <c r="AP8" s="125"/>
      <c r="AQ8" s="125"/>
      <c r="AR8" s="126" t="s">
        <v>6</v>
      </c>
      <c r="AU8" s="130">
        <v>851</v>
      </c>
      <c r="AV8" s="130">
        <v>852</v>
      </c>
      <c r="AW8" s="130"/>
      <c r="AX8" s="130"/>
      <c r="AY8" s="131"/>
      <c r="AZ8" s="130"/>
    </row>
    <row r="9" spans="1:52" s="116" customFormat="1" ht="19.5" customHeight="1" x14ac:dyDescent="0.25">
      <c r="A9" s="30" t="s">
        <v>25</v>
      </c>
      <c r="B9" s="51" t="s">
        <v>143</v>
      </c>
      <c r="C9" s="117">
        <v>6783</v>
      </c>
      <c r="D9" s="70"/>
      <c r="E9" s="159">
        <f>C9*D9</f>
        <v>0</v>
      </c>
      <c r="F9" s="146"/>
      <c r="G9" s="146"/>
      <c r="H9" s="147"/>
      <c r="I9" s="145">
        <f>G9*H9/1000*1%</f>
        <v>0</v>
      </c>
      <c r="J9" s="148"/>
      <c r="K9" s="148"/>
      <c r="L9" s="145">
        <f>J9*K9</f>
        <v>0</v>
      </c>
      <c r="M9" s="70">
        <v>1E-3</v>
      </c>
      <c r="N9" s="159">
        <f>C9*M9</f>
        <v>6.7830000000000004</v>
      </c>
      <c r="O9" s="70">
        <v>0.21299999999999999</v>
      </c>
      <c r="P9" s="159">
        <f>C9*O9</f>
        <v>1444.779</v>
      </c>
      <c r="Q9" s="70">
        <v>1E-3</v>
      </c>
      <c r="R9" s="159">
        <f>C9*Q9</f>
        <v>6.7830000000000004</v>
      </c>
      <c r="S9" s="70">
        <v>1E-3</v>
      </c>
      <c r="T9" s="159">
        <f>C9*S9</f>
        <v>6.7830000000000004</v>
      </c>
      <c r="U9" s="70">
        <v>0</v>
      </c>
      <c r="V9" s="159">
        <f>C9*U9</f>
        <v>0</v>
      </c>
      <c r="W9" s="70">
        <v>0.125</v>
      </c>
      <c r="X9" s="159">
        <f>C9*W9</f>
        <v>847.875</v>
      </c>
      <c r="Y9" s="70">
        <v>0.56699999999999995</v>
      </c>
      <c r="Z9" s="159">
        <f>C9*Y9</f>
        <v>3845.9609999999998</v>
      </c>
      <c r="AA9" s="70">
        <v>0.50900000000000001</v>
      </c>
      <c r="AB9" s="159">
        <f>C9*AA9</f>
        <v>3452.547</v>
      </c>
      <c r="AC9" s="70">
        <v>1E-3</v>
      </c>
      <c r="AD9" s="159">
        <f t="shared" ref="AD9:AD12" si="0">C9*AC9</f>
        <v>6.7830000000000004</v>
      </c>
      <c r="AE9" s="145"/>
      <c r="AF9" s="145"/>
      <c r="AG9" s="147"/>
      <c r="AH9" s="144"/>
      <c r="AI9" s="145">
        <f>AG9*AH9</f>
        <v>0</v>
      </c>
      <c r="AJ9" s="62">
        <v>1</v>
      </c>
      <c r="AK9" s="70">
        <v>6.6000000000000003E-2</v>
      </c>
      <c r="AL9" s="162">
        <f>AJ9*AK9</f>
        <v>6.6000000000000003E-2</v>
      </c>
      <c r="AM9" s="56">
        <v>619</v>
      </c>
      <c r="AN9" s="164">
        <v>5.1999999999999998E-3</v>
      </c>
      <c r="AO9" s="159">
        <f>AM9*AN9*12/1000</f>
        <v>3.8625599999999996E-2</v>
      </c>
      <c r="AP9" s="53">
        <f>E9+I9+L9+N9+P9+R9+T9+V9+X9+Z9+AB9+AD9+AE9+AF9+AI9+AL9+AO9</f>
        <v>9618.3986256000007</v>
      </c>
      <c r="AQ9" s="165">
        <f t="shared" ref="AQ9:AQ12" si="1">AP9/C9</f>
        <v>1.4180154246793455</v>
      </c>
      <c r="AR9" s="166">
        <f>ROUND((AP9/C9)/($AP$13/$C$13),5)</f>
        <v>1.14653</v>
      </c>
    </row>
    <row r="10" spans="1:52" s="116" customFormat="1" ht="19.5" customHeight="1" x14ac:dyDescent="0.25">
      <c r="A10" s="30" t="s">
        <v>22</v>
      </c>
      <c r="B10" s="59" t="s">
        <v>144</v>
      </c>
      <c r="C10" s="117">
        <v>3533</v>
      </c>
      <c r="D10" s="70">
        <v>0.80400000000000005</v>
      </c>
      <c r="E10" s="160">
        <f t="shared" ref="E10:E12" si="2">C10*D10</f>
        <v>2840.5320000000002</v>
      </c>
      <c r="F10" s="146"/>
      <c r="G10" s="146"/>
      <c r="H10" s="147"/>
      <c r="I10" s="145">
        <f t="shared" ref="I10:I12" si="3">G10*H10/1000*1%</f>
        <v>0</v>
      </c>
      <c r="J10" s="148"/>
      <c r="K10" s="148"/>
      <c r="L10" s="145">
        <f t="shared" ref="L10:L12" si="4">J10*K10</f>
        <v>0</v>
      </c>
      <c r="M10" s="70">
        <v>0</v>
      </c>
      <c r="N10" s="159">
        <f t="shared" ref="N10:N12" si="5">C10*M10</f>
        <v>0</v>
      </c>
      <c r="O10" s="70">
        <v>0</v>
      </c>
      <c r="P10" s="159">
        <f t="shared" ref="P10:P12" si="6">C10*O10</f>
        <v>0</v>
      </c>
      <c r="Q10" s="70">
        <v>1E-3</v>
      </c>
      <c r="R10" s="159">
        <f t="shared" ref="R10:R11" si="7">C10*Q10</f>
        <v>3.5329999999999999</v>
      </c>
      <c r="S10" s="70">
        <v>1E-3</v>
      </c>
      <c r="T10" s="159">
        <f t="shared" ref="T10:T12" si="8">C10*S10</f>
        <v>3.5329999999999999</v>
      </c>
      <c r="U10" s="70">
        <v>2.3E-2</v>
      </c>
      <c r="V10" s="159">
        <f t="shared" ref="V10:V12" si="9">C10*U10</f>
        <v>81.259</v>
      </c>
      <c r="W10" s="70">
        <v>0.12</v>
      </c>
      <c r="X10" s="159">
        <f t="shared" ref="X10:X12" si="10">C10*W10</f>
        <v>423.96</v>
      </c>
      <c r="Y10" s="70">
        <v>0.11600000000000001</v>
      </c>
      <c r="Z10" s="159">
        <f t="shared" ref="Z10:Z12" si="11">C10*Y10</f>
        <v>409.82800000000003</v>
      </c>
      <c r="AA10" s="70">
        <v>2.4E-2</v>
      </c>
      <c r="AB10" s="159">
        <f t="shared" ref="AB10:AB12" si="12">C10*AA10</f>
        <v>84.792000000000002</v>
      </c>
      <c r="AC10" s="70">
        <v>1E-3</v>
      </c>
      <c r="AD10" s="159">
        <f t="shared" si="0"/>
        <v>3.5329999999999999</v>
      </c>
      <c r="AE10" s="145"/>
      <c r="AF10" s="145"/>
      <c r="AG10" s="147"/>
      <c r="AH10" s="144"/>
      <c r="AI10" s="145">
        <f t="shared" ref="AI10:AI12" si="13">AG10*AH10</f>
        <v>0</v>
      </c>
      <c r="AJ10" s="62">
        <v>10</v>
      </c>
      <c r="AK10" s="70">
        <v>2.141</v>
      </c>
      <c r="AL10" s="162">
        <f t="shared" ref="AL10:AL12" si="14">AJ10*AK10</f>
        <v>21.41</v>
      </c>
      <c r="AM10" s="56"/>
      <c r="AN10" s="56"/>
      <c r="AO10" s="159">
        <f t="shared" ref="AO10:AO12" si="15">AM10*AN10*12/1000</f>
        <v>0</v>
      </c>
      <c r="AP10" s="53">
        <f t="shared" ref="AP10:AP12" si="16">E10+I10+L10+N10+P10+R10+T10+V10+X10+Z10+AB10+AD10+AE10+AF10+AI10+AL10+AO10</f>
        <v>3872.3799999999997</v>
      </c>
      <c r="AQ10" s="165">
        <f t="shared" si="1"/>
        <v>1.0960600056609113</v>
      </c>
      <c r="AR10" s="166">
        <f>ROUND((AP10/C10)/($AP$13/$C$13),5)</f>
        <v>0.88622000000000001</v>
      </c>
    </row>
    <row r="11" spans="1:52" s="116" customFormat="1" ht="19.5" customHeight="1" x14ac:dyDescent="0.25">
      <c r="A11" s="30" t="s">
        <v>24</v>
      </c>
      <c r="B11" s="59" t="s">
        <v>145</v>
      </c>
      <c r="C11" s="117">
        <v>2684</v>
      </c>
      <c r="D11" s="70">
        <v>0.80400000000000005</v>
      </c>
      <c r="E11" s="160">
        <f t="shared" si="2"/>
        <v>2157.9360000000001</v>
      </c>
      <c r="F11" s="146"/>
      <c r="G11" s="146"/>
      <c r="H11" s="147"/>
      <c r="I11" s="145">
        <f t="shared" si="3"/>
        <v>0</v>
      </c>
      <c r="J11" s="148"/>
      <c r="K11" s="148"/>
      <c r="L11" s="145">
        <f t="shared" si="4"/>
        <v>0</v>
      </c>
      <c r="M11" s="70">
        <v>0</v>
      </c>
      <c r="N11" s="159">
        <f t="shared" si="5"/>
        <v>0</v>
      </c>
      <c r="O11" s="70">
        <v>0</v>
      </c>
      <c r="P11" s="159">
        <f t="shared" si="6"/>
        <v>0</v>
      </c>
      <c r="Q11" s="70">
        <v>1E-3</v>
      </c>
      <c r="R11" s="159">
        <f t="shared" si="7"/>
        <v>2.6840000000000002</v>
      </c>
      <c r="S11" s="70">
        <v>1E-3</v>
      </c>
      <c r="T11" s="159">
        <f t="shared" si="8"/>
        <v>2.6840000000000002</v>
      </c>
      <c r="U11" s="70">
        <v>2.3E-2</v>
      </c>
      <c r="V11" s="159">
        <f t="shared" si="9"/>
        <v>61.731999999999999</v>
      </c>
      <c r="W11" s="70">
        <v>0.12</v>
      </c>
      <c r="X11" s="159">
        <f t="shared" si="10"/>
        <v>322.08</v>
      </c>
      <c r="Y11" s="70">
        <v>0.11600000000000001</v>
      </c>
      <c r="Z11" s="159">
        <f t="shared" si="11"/>
        <v>311.34399999999999</v>
      </c>
      <c r="AA11" s="70">
        <v>2.4E-2</v>
      </c>
      <c r="AB11" s="159">
        <f t="shared" si="12"/>
        <v>64.415999999999997</v>
      </c>
      <c r="AC11" s="70">
        <v>1E-3</v>
      </c>
      <c r="AD11" s="159">
        <f t="shared" si="0"/>
        <v>2.6840000000000002</v>
      </c>
      <c r="AE11" s="145"/>
      <c r="AF11" s="145"/>
      <c r="AG11" s="147"/>
      <c r="AH11" s="144"/>
      <c r="AI11" s="145">
        <f t="shared" si="13"/>
        <v>0</v>
      </c>
      <c r="AJ11" s="62">
        <v>5</v>
      </c>
      <c r="AK11" s="70">
        <v>2.141</v>
      </c>
      <c r="AL11" s="162">
        <f t="shared" si="14"/>
        <v>10.705</v>
      </c>
      <c r="AM11" s="56"/>
      <c r="AN11" s="56"/>
      <c r="AO11" s="159">
        <f t="shared" si="15"/>
        <v>0</v>
      </c>
      <c r="AP11" s="53">
        <f t="shared" si="16"/>
        <v>2936.2650000000008</v>
      </c>
      <c r="AQ11" s="165">
        <f t="shared" si="1"/>
        <v>1.0939884500745158</v>
      </c>
      <c r="AR11" s="166">
        <f>ROUND((AP11/C11)/($AP$13/$C$13),5)</f>
        <v>0.88453999999999999</v>
      </c>
    </row>
    <row r="12" spans="1:52" s="116" customFormat="1" ht="19.5" customHeight="1" x14ac:dyDescent="0.25">
      <c r="A12" s="30" t="s">
        <v>23</v>
      </c>
      <c r="B12" s="59" t="s">
        <v>146</v>
      </c>
      <c r="C12" s="117">
        <v>2435</v>
      </c>
      <c r="D12" s="70">
        <v>0.80400000000000005</v>
      </c>
      <c r="E12" s="160">
        <f t="shared" si="2"/>
        <v>1957.74</v>
      </c>
      <c r="F12" s="146"/>
      <c r="G12" s="146"/>
      <c r="H12" s="147"/>
      <c r="I12" s="145">
        <f t="shared" si="3"/>
        <v>0</v>
      </c>
      <c r="J12" s="148"/>
      <c r="K12" s="148"/>
      <c r="L12" s="145">
        <f t="shared" si="4"/>
        <v>0</v>
      </c>
      <c r="M12" s="70">
        <v>0</v>
      </c>
      <c r="N12" s="159">
        <f t="shared" si="5"/>
        <v>0</v>
      </c>
      <c r="O12" s="70">
        <v>0</v>
      </c>
      <c r="P12" s="159">
        <f t="shared" si="6"/>
        <v>0</v>
      </c>
      <c r="Q12" s="70">
        <v>1E-3</v>
      </c>
      <c r="R12" s="159">
        <f>C12*Q12</f>
        <v>2.4350000000000001</v>
      </c>
      <c r="S12" s="70">
        <v>1E-3</v>
      </c>
      <c r="T12" s="159">
        <f t="shared" si="8"/>
        <v>2.4350000000000001</v>
      </c>
      <c r="U12" s="70">
        <v>2.3E-2</v>
      </c>
      <c r="V12" s="159">
        <f t="shared" si="9"/>
        <v>56.005000000000003</v>
      </c>
      <c r="W12" s="70">
        <v>0.12</v>
      </c>
      <c r="X12" s="159">
        <f t="shared" si="10"/>
        <v>292.2</v>
      </c>
      <c r="Y12" s="70">
        <v>0.11600000000000001</v>
      </c>
      <c r="Z12" s="159">
        <f t="shared" si="11"/>
        <v>282.46000000000004</v>
      </c>
      <c r="AA12" s="70">
        <v>2.4E-2</v>
      </c>
      <c r="AB12" s="159">
        <f t="shared" si="12"/>
        <v>58.44</v>
      </c>
      <c r="AC12" s="70">
        <v>1E-3</v>
      </c>
      <c r="AD12" s="159">
        <f t="shared" si="0"/>
        <v>2.4350000000000001</v>
      </c>
      <c r="AE12" s="145"/>
      <c r="AF12" s="145"/>
      <c r="AG12" s="147"/>
      <c r="AH12" s="144"/>
      <c r="AI12" s="145">
        <f t="shared" si="13"/>
        <v>0</v>
      </c>
      <c r="AJ12" s="62">
        <v>4</v>
      </c>
      <c r="AK12" s="70">
        <v>2.141</v>
      </c>
      <c r="AL12" s="162">
        <f t="shared" si="14"/>
        <v>8.5640000000000001</v>
      </c>
      <c r="AM12" s="56"/>
      <c r="AN12" s="56"/>
      <c r="AO12" s="159">
        <f t="shared" si="15"/>
        <v>0</v>
      </c>
      <c r="AP12" s="53">
        <f t="shared" si="16"/>
        <v>2662.7139999999999</v>
      </c>
      <c r="AQ12" s="165">
        <f t="shared" si="1"/>
        <v>1.0935170431211498</v>
      </c>
      <c r="AR12" s="166">
        <f>ROUND((AP12/C12)/($AP$13/$C$13),5)</f>
        <v>0.88415999999999995</v>
      </c>
    </row>
    <row r="13" spans="1:52" s="116" customFormat="1" ht="19.5" customHeight="1" x14ac:dyDescent="0.25">
      <c r="A13" s="211" t="s">
        <v>0</v>
      </c>
      <c r="B13" s="211"/>
      <c r="C13" s="134">
        <f>SUM(C9:C12)</f>
        <v>15435</v>
      </c>
      <c r="D13" s="158" t="s">
        <v>74</v>
      </c>
      <c r="E13" s="155">
        <f>SUM(E9:E12)</f>
        <v>6956.2080000000005</v>
      </c>
      <c r="F13" s="150">
        <f>SUM(F9:F12)</f>
        <v>0</v>
      </c>
      <c r="G13" s="150">
        <f>SUM(G9:G12)</f>
        <v>0</v>
      </c>
      <c r="H13" s="149" t="s">
        <v>74</v>
      </c>
      <c r="I13" s="140">
        <f>SUM(I9:I12)</f>
        <v>0</v>
      </c>
      <c r="J13" s="151">
        <f>SUM(J9:J12)</f>
        <v>0</v>
      </c>
      <c r="K13" s="152" t="s">
        <v>5</v>
      </c>
      <c r="L13" s="140">
        <f>SUM(L9:L12)</f>
        <v>0</v>
      </c>
      <c r="M13" s="161" t="s">
        <v>5</v>
      </c>
      <c r="N13" s="155">
        <f>SUM(N9:N12)</f>
        <v>6.7830000000000004</v>
      </c>
      <c r="O13" s="161" t="s">
        <v>5</v>
      </c>
      <c r="P13" s="155">
        <f>SUM(P9:P12)</f>
        <v>1444.779</v>
      </c>
      <c r="Q13" s="161" t="s">
        <v>5</v>
      </c>
      <c r="R13" s="155">
        <f>SUM(R9:R12)</f>
        <v>15.435</v>
      </c>
      <c r="S13" s="161" t="s">
        <v>5</v>
      </c>
      <c r="T13" s="155">
        <f>SUM(T9:T12)</f>
        <v>15.435</v>
      </c>
      <c r="U13" s="161" t="s">
        <v>5</v>
      </c>
      <c r="V13" s="155">
        <f>SUM(V9:V12)</f>
        <v>198.99599999999998</v>
      </c>
      <c r="W13" s="161" t="s">
        <v>5</v>
      </c>
      <c r="X13" s="155">
        <f>SUM(X9:X12)</f>
        <v>1886.115</v>
      </c>
      <c r="Y13" s="161" t="s">
        <v>5</v>
      </c>
      <c r="Z13" s="155">
        <f>SUM(Z9:Z12)</f>
        <v>4849.5929999999998</v>
      </c>
      <c r="AA13" s="161" t="s">
        <v>5</v>
      </c>
      <c r="AB13" s="155">
        <f>SUM(AB9:AB12)</f>
        <v>3660.1950000000002</v>
      </c>
      <c r="AC13" s="161" t="s">
        <v>5</v>
      </c>
      <c r="AD13" s="155">
        <f>SUM(AD9:AD12)</f>
        <v>15.435</v>
      </c>
      <c r="AE13" s="140">
        <f>SUM(AE9:AE12)</f>
        <v>0</v>
      </c>
      <c r="AF13" s="140">
        <f>SUM(AF9:AF12)</f>
        <v>0</v>
      </c>
      <c r="AG13" s="153">
        <f>SUM(AG9:AG12)</f>
        <v>0</v>
      </c>
      <c r="AH13" s="152" t="s">
        <v>5</v>
      </c>
      <c r="AI13" s="140">
        <f>SUM(AI9:AI12)</f>
        <v>0</v>
      </c>
      <c r="AJ13" s="163">
        <f>SUM(AJ9:AJ12)</f>
        <v>20</v>
      </c>
      <c r="AK13" s="161" t="s">
        <v>5</v>
      </c>
      <c r="AL13" s="155">
        <f>SUM(AL9:AL12)</f>
        <v>40.744999999999997</v>
      </c>
      <c r="AM13" s="161" t="s">
        <v>5</v>
      </c>
      <c r="AN13" s="158" t="s">
        <v>74</v>
      </c>
      <c r="AO13" s="155">
        <f>SUM(AO9:AO12)</f>
        <v>3.8625599999999996E-2</v>
      </c>
      <c r="AP13" s="155">
        <f>SUM(AP9:AP12)</f>
        <v>19089.757625599999</v>
      </c>
      <c r="AQ13" s="167">
        <f>SUM(AQ9:AQ12)</f>
        <v>4.7015809235359223</v>
      </c>
      <c r="AR13" s="168">
        <f>(AP13/C13)/($AP$13/$C$13)</f>
        <v>1</v>
      </c>
    </row>
    <row r="14" spans="1:52" x14ac:dyDescent="0.2">
      <c r="C14" s="5"/>
      <c r="AA14" s="5"/>
      <c r="AD14" s="5"/>
      <c r="AE14" s="5"/>
      <c r="AF14" s="5"/>
      <c r="AI14" s="5"/>
      <c r="AL14" s="5"/>
      <c r="AS14" s="4"/>
    </row>
    <row r="15" spans="1:52" x14ac:dyDescent="0.2">
      <c r="C15" s="9"/>
      <c r="AA15" s="5"/>
      <c r="AD15" s="5"/>
      <c r="AE15" s="5"/>
      <c r="AF15" s="5"/>
      <c r="AI15" s="5"/>
      <c r="AL15" s="5"/>
      <c r="AP15" s="4"/>
    </row>
    <row r="16" spans="1:52" x14ac:dyDescent="0.2">
      <c r="D16" s="5" t="s">
        <v>76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 t="s">
        <v>76</v>
      </c>
      <c r="Y16" s="5"/>
      <c r="AM16" s="5" t="s">
        <v>75</v>
      </c>
    </row>
    <row r="17" spans="1:41" ht="15.75" x14ac:dyDescent="0.25">
      <c r="AD17" s="68"/>
      <c r="AE17" s="68"/>
      <c r="AF17" s="68"/>
      <c r="AI17" s="68"/>
      <c r="AL17" s="68"/>
      <c r="AM17" s="5" t="s">
        <v>75</v>
      </c>
    </row>
    <row r="18" spans="1:41" ht="12.75" customHeight="1" x14ac:dyDescent="0.2">
      <c r="B18" s="5" t="s">
        <v>75</v>
      </c>
    </row>
    <row r="19" spans="1:41" ht="13.5" customHeight="1" x14ac:dyDescent="0.2"/>
    <row r="20" spans="1:41" ht="12.75" hidden="1" customHeight="1" x14ac:dyDescent="0.2">
      <c r="A20" s="212" t="s">
        <v>1</v>
      </c>
      <c r="B20" s="212" t="s">
        <v>2</v>
      </c>
      <c r="C20" s="206" t="s">
        <v>77</v>
      </c>
      <c r="D20" s="193" t="s">
        <v>46</v>
      </c>
      <c r="E20" s="111"/>
      <c r="F20" s="111"/>
      <c r="G20" s="109"/>
      <c r="H20" s="109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93" t="s">
        <v>46</v>
      </c>
      <c r="U20" s="108"/>
      <c r="V20" s="206" t="s">
        <v>47</v>
      </c>
      <c r="W20" s="193" t="s">
        <v>48</v>
      </c>
      <c r="X20" s="206" t="s">
        <v>49</v>
      </c>
      <c r="Y20" s="193" t="s">
        <v>50</v>
      </c>
      <c r="Z20" s="206" t="s">
        <v>51</v>
      </c>
      <c r="AA20" s="225"/>
      <c r="AB20" s="225"/>
      <c r="AC20" s="222" t="s">
        <v>52</v>
      </c>
      <c r="AD20" s="193" t="s">
        <v>53</v>
      </c>
      <c r="AE20" s="193" t="s">
        <v>53</v>
      </c>
      <c r="AF20" s="193" t="s">
        <v>53</v>
      </c>
      <c r="AG20" s="193" t="s">
        <v>52</v>
      </c>
      <c r="AH20" s="108"/>
      <c r="AI20" s="193" t="s">
        <v>53</v>
      </c>
      <c r="AJ20" s="193" t="s">
        <v>52</v>
      </c>
      <c r="AK20" s="108"/>
      <c r="AL20" s="193" t="s">
        <v>53</v>
      </c>
      <c r="AM20" s="193" t="s">
        <v>78</v>
      </c>
      <c r="AN20" s="206" t="s">
        <v>79</v>
      </c>
      <c r="AO20" s="193" t="s">
        <v>54</v>
      </c>
    </row>
    <row r="21" spans="1:41" ht="12.75" hidden="1" customHeight="1" x14ac:dyDescent="0.2">
      <c r="A21" s="213"/>
      <c r="B21" s="215"/>
      <c r="C21" s="206"/>
      <c r="D21" s="193"/>
      <c r="E21" s="112"/>
      <c r="F21" s="112"/>
      <c r="G21" s="110"/>
      <c r="H21" s="110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93"/>
      <c r="U21" s="108"/>
      <c r="V21" s="206"/>
      <c r="W21" s="193"/>
      <c r="X21" s="206"/>
      <c r="Y21" s="193"/>
      <c r="Z21" s="206"/>
      <c r="AA21" s="226"/>
      <c r="AB21" s="226"/>
      <c r="AC21" s="223"/>
      <c r="AD21" s="193"/>
      <c r="AE21" s="193"/>
      <c r="AF21" s="193"/>
      <c r="AG21" s="193"/>
      <c r="AH21" s="108"/>
      <c r="AI21" s="193"/>
      <c r="AJ21" s="193"/>
      <c r="AK21" s="108"/>
      <c r="AL21" s="193"/>
      <c r="AM21" s="193"/>
      <c r="AN21" s="206"/>
      <c r="AO21" s="193"/>
    </row>
    <row r="22" spans="1:41" ht="34.5" hidden="1" customHeight="1" x14ac:dyDescent="0.2">
      <c r="A22" s="214"/>
      <c r="B22" s="214"/>
      <c r="C22" s="206"/>
      <c r="D22" s="193"/>
      <c r="E22" s="112"/>
      <c r="F22" s="112"/>
      <c r="G22" s="110"/>
      <c r="H22" s="110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93"/>
      <c r="U22" s="108"/>
      <c r="V22" s="206"/>
      <c r="W22" s="193"/>
      <c r="X22" s="206"/>
      <c r="Y22" s="193"/>
      <c r="Z22" s="206"/>
      <c r="AA22" s="227"/>
      <c r="AB22" s="227"/>
      <c r="AC22" s="224"/>
      <c r="AD22" s="193"/>
      <c r="AE22" s="193"/>
      <c r="AF22" s="193"/>
      <c r="AG22" s="193"/>
      <c r="AH22" s="108"/>
      <c r="AI22" s="193"/>
      <c r="AJ22" s="193"/>
      <c r="AK22" s="108"/>
      <c r="AL22" s="193"/>
      <c r="AM22" s="193"/>
      <c r="AN22" s="206"/>
      <c r="AO22" s="193"/>
    </row>
    <row r="23" spans="1:41" ht="14.25" hidden="1" customHeight="1" thickBot="1" x14ac:dyDescent="0.25">
      <c r="A23" s="216" t="s">
        <v>58</v>
      </c>
      <c r="B23" s="217"/>
      <c r="C23" s="41">
        <v>1</v>
      </c>
      <c r="D23" s="42">
        <v>2</v>
      </c>
      <c r="E23" s="114"/>
      <c r="F23" s="114"/>
      <c r="G23" s="114"/>
      <c r="H23" s="114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>
        <v>2</v>
      </c>
      <c r="U23" s="42"/>
      <c r="V23" s="41" t="s">
        <v>59</v>
      </c>
      <c r="W23" s="42">
        <v>4</v>
      </c>
      <c r="X23" s="41" t="s">
        <v>60</v>
      </c>
      <c r="Y23" s="42">
        <v>6</v>
      </c>
      <c r="Z23" s="41" t="s">
        <v>61</v>
      </c>
      <c r="AA23" s="41"/>
      <c r="AB23" s="41"/>
      <c r="AC23" s="42">
        <v>8</v>
      </c>
      <c r="AD23" s="41">
        <v>9</v>
      </c>
      <c r="AE23" s="41">
        <v>9</v>
      </c>
      <c r="AF23" s="41">
        <v>9</v>
      </c>
      <c r="AG23" s="42">
        <v>8</v>
      </c>
      <c r="AH23" s="42"/>
      <c r="AI23" s="41">
        <v>9</v>
      </c>
      <c r="AJ23" s="42">
        <v>8</v>
      </c>
      <c r="AK23" s="42"/>
      <c r="AL23" s="41">
        <v>9</v>
      </c>
      <c r="AM23" s="42">
        <v>11</v>
      </c>
      <c r="AN23" s="42" t="s">
        <v>62</v>
      </c>
      <c r="AO23" s="42">
        <v>13</v>
      </c>
    </row>
    <row r="24" spans="1:41" ht="17.25" hidden="1" customHeight="1" x14ac:dyDescent="0.2">
      <c r="A24" s="218"/>
      <c r="B24" s="219"/>
      <c r="C24" s="43" t="s">
        <v>63</v>
      </c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5"/>
      <c r="W24" s="46"/>
      <c r="X24" s="47"/>
      <c r="Y24" s="46"/>
      <c r="Z24" s="48"/>
      <c r="AA24" s="48"/>
      <c r="AB24" s="48"/>
      <c r="AC24" s="47"/>
      <c r="AD24" s="49">
        <v>4.3E-3</v>
      </c>
      <c r="AE24" s="49">
        <v>4.3E-3</v>
      </c>
      <c r="AF24" s="49">
        <v>4.3E-3</v>
      </c>
      <c r="AG24" s="47"/>
      <c r="AH24" s="47"/>
      <c r="AI24" s="49">
        <v>4.3E-3</v>
      </c>
      <c r="AJ24" s="47"/>
      <c r="AK24" s="47"/>
      <c r="AL24" s="49">
        <v>4.3E-3</v>
      </c>
      <c r="AM24" s="46"/>
      <c r="AN24" s="47"/>
      <c r="AO24" s="46"/>
    </row>
    <row r="25" spans="1:41" ht="15.75" hidden="1" customHeight="1" x14ac:dyDescent="0.25">
      <c r="A25" s="50">
        <v>1</v>
      </c>
      <c r="B25" s="51" t="s">
        <v>64</v>
      </c>
      <c r="C25" s="63">
        <v>33351</v>
      </c>
      <c r="D25" s="69">
        <v>0.496</v>
      </c>
      <c r="E25" s="115"/>
      <c r="F25" s="115"/>
      <c r="G25" s="115"/>
      <c r="H25" s="115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>
        <v>0.496</v>
      </c>
      <c r="U25" s="69"/>
      <c r="V25" s="65">
        <f t="shared" ref="V25:V43" si="17">C25*D25</f>
        <v>16542.096000000001</v>
      </c>
      <c r="W25" s="70">
        <v>0.06</v>
      </c>
      <c r="X25" s="55">
        <f t="shared" ref="X25:X43" si="18">W25*C25</f>
        <v>2001.06</v>
      </c>
      <c r="Y25" s="52">
        <v>0.40899999999999997</v>
      </c>
      <c r="Z25" s="60">
        <f t="shared" ref="Z25:Z43" si="19">Y25*C25</f>
        <v>13640.558999999999</v>
      </c>
      <c r="AA25" s="54"/>
      <c r="AB25" s="55"/>
      <c r="AC25" s="56">
        <v>88.1</v>
      </c>
      <c r="AD25" s="57">
        <v>3.3E-3</v>
      </c>
      <c r="AE25" s="57">
        <v>3.3E-3</v>
      </c>
      <c r="AF25" s="57">
        <v>3.3E-3</v>
      </c>
      <c r="AG25" s="56">
        <v>88.1</v>
      </c>
      <c r="AH25" s="56"/>
      <c r="AI25" s="57">
        <v>3.3E-3</v>
      </c>
      <c r="AJ25" s="56">
        <v>88.1</v>
      </c>
      <c r="AK25" s="56"/>
      <c r="AL25" s="57">
        <v>3.3E-3</v>
      </c>
      <c r="AM25" s="57"/>
      <c r="AN25" s="71">
        <v>127</v>
      </c>
      <c r="AO25" s="72">
        <v>3.7000000000000002E-3</v>
      </c>
    </row>
    <row r="26" spans="1:41" ht="15.75" hidden="1" customHeight="1" x14ac:dyDescent="0.25">
      <c r="A26" s="58">
        <v>2</v>
      </c>
      <c r="B26" s="59" t="s">
        <v>65</v>
      </c>
      <c r="C26" s="63">
        <v>5340</v>
      </c>
      <c r="D26" s="69">
        <v>0.496</v>
      </c>
      <c r="E26" s="115"/>
      <c r="F26" s="115"/>
      <c r="G26" s="115"/>
      <c r="H26" s="115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>
        <v>0.496</v>
      </c>
      <c r="U26" s="69"/>
      <c r="V26" s="65">
        <f t="shared" si="17"/>
        <v>2648.64</v>
      </c>
      <c r="W26" s="70">
        <v>0.15</v>
      </c>
      <c r="X26" s="55">
        <f t="shared" si="18"/>
        <v>801</v>
      </c>
      <c r="Y26" s="52">
        <v>0.40899999999999997</v>
      </c>
      <c r="Z26" s="61">
        <f t="shared" si="19"/>
        <v>2184.06</v>
      </c>
      <c r="AA26" s="54"/>
      <c r="AB26" s="55"/>
      <c r="AC26" s="56">
        <v>15.2</v>
      </c>
      <c r="AD26" s="57">
        <v>3.3E-3</v>
      </c>
      <c r="AE26" s="57">
        <v>3.3E-3</v>
      </c>
      <c r="AF26" s="57">
        <v>3.3E-3</v>
      </c>
      <c r="AG26" s="56">
        <v>15.2</v>
      </c>
      <c r="AH26" s="56"/>
      <c r="AI26" s="57">
        <v>3.3E-3</v>
      </c>
      <c r="AJ26" s="56">
        <v>15.2</v>
      </c>
      <c r="AK26" s="56"/>
      <c r="AL26" s="57">
        <v>3.3E-3</v>
      </c>
      <c r="AM26" s="57"/>
      <c r="AN26" s="73">
        <v>127</v>
      </c>
      <c r="AO26" s="72">
        <v>3.7000000000000002E-3</v>
      </c>
    </row>
    <row r="27" spans="1:41" ht="15.75" hidden="1" customHeight="1" x14ac:dyDescent="0.25">
      <c r="A27" s="58">
        <v>3</v>
      </c>
      <c r="B27" s="59" t="s">
        <v>66</v>
      </c>
      <c r="C27" s="63">
        <v>5077</v>
      </c>
      <c r="D27" s="69">
        <v>0.496</v>
      </c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>
        <v>0.496</v>
      </c>
      <c r="U27" s="69"/>
      <c r="V27" s="65">
        <f t="shared" si="17"/>
        <v>2518.192</v>
      </c>
      <c r="W27" s="70">
        <v>0.15</v>
      </c>
      <c r="X27" s="55">
        <f t="shared" si="18"/>
        <v>761.55</v>
      </c>
      <c r="Y27" s="52">
        <v>0.40899999999999997</v>
      </c>
      <c r="Z27" s="61">
        <f t="shared" si="19"/>
        <v>2076.4929999999999</v>
      </c>
      <c r="AA27" s="54"/>
      <c r="AB27" s="55"/>
      <c r="AC27" s="56">
        <v>10.199999999999999</v>
      </c>
      <c r="AD27" s="57">
        <v>3.3E-3</v>
      </c>
      <c r="AE27" s="57">
        <v>3.3E-3</v>
      </c>
      <c r="AF27" s="57">
        <v>3.3E-3</v>
      </c>
      <c r="AG27" s="56">
        <v>10.199999999999999</v>
      </c>
      <c r="AH27" s="56"/>
      <c r="AI27" s="57">
        <v>3.3E-3</v>
      </c>
      <c r="AJ27" s="56">
        <v>10.199999999999999</v>
      </c>
      <c r="AK27" s="56"/>
      <c r="AL27" s="57">
        <v>3.3E-3</v>
      </c>
      <c r="AM27" s="57"/>
      <c r="AN27" s="73">
        <v>127</v>
      </c>
      <c r="AO27" s="72">
        <v>3.7000000000000002E-3</v>
      </c>
    </row>
    <row r="28" spans="1:41" ht="15.75" hidden="1" customHeight="1" x14ac:dyDescent="0.25">
      <c r="A28" s="58">
        <v>4</v>
      </c>
      <c r="B28" s="59" t="s">
        <v>67</v>
      </c>
      <c r="C28" s="63">
        <v>6359</v>
      </c>
      <c r="D28" s="69">
        <v>0.496</v>
      </c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>
        <v>0.496</v>
      </c>
      <c r="U28" s="69"/>
      <c r="V28" s="65">
        <f t="shared" si="17"/>
        <v>3154.0639999999999</v>
      </c>
      <c r="W28" s="70">
        <v>0.15</v>
      </c>
      <c r="X28" s="55">
        <f t="shared" si="18"/>
        <v>953.84999999999991</v>
      </c>
      <c r="Y28" s="52">
        <v>0.40899999999999997</v>
      </c>
      <c r="Z28" s="61">
        <f t="shared" si="19"/>
        <v>2600.8309999999997</v>
      </c>
      <c r="AA28" s="54"/>
      <c r="AB28" s="55"/>
      <c r="AC28" s="56">
        <v>6.8</v>
      </c>
      <c r="AD28" s="57">
        <v>3.3E-3</v>
      </c>
      <c r="AE28" s="57">
        <v>3.3E-3</v>
      </c>
      <c r="AF28" s="57">
        <v>3.3E-3</v>
      </c>
      <c r="AG28" s="56">
        <v>6.8</v>
      </c>
      <c r="AH28" s="56"/>
      <c r="AI28" s="57">
        <v>3.3E-3</v>
      </c>
      <c r="AJ28" s="56">
        <v>6.8</v>
      </c>
      <c r="AK28" s="56"/>
      <c r="AL28" s="57">
        <v>3.3E-3</v>
      </c>
      <c r="AM28" s="57"/>
      <c r="AN28" s="73">
        <v>127</v>
      </c>
      <c r="AO28" s="72">
        <v>3.7000000000000002E-3</v>
      </c>
    </row>
    <row r="29" spans="1:41" ht="15.75" hidden="1" customHeight="1" x14ac:dyDescent="0.25">
      <c r="A29" s="58">
        <v>5</v>
      </c>
      <c r="B29" s="59" t="s">
        <v>68</v>
      </c>
      <c r="C29" s="63">
        <v>4707</v>
      </c>
      <c r="D29" s="69">
        <v>0.496</v>
      </c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>
        <v>0.496</v>
      </c>
      <c r="U29" s="69"/>
      <c r="V29" s="65">
        <f t="shared" si="17"/>
        <v>2334.672</v>
      </c>
      <c r="W29" s="70">
        <v>0.2</v>
      </c>
      <c r="X29" s="55">
        <f t="shared" si="18"/>
        <v>941.40000000000009</v>
      </c>
      <c r="Y29" s="52">
        <v>0.40899999999999997</v>
      </c>
      <c r="Z29" s="61">
        <f t="shared" si="19"/>
        <v>1925.1629999999998</v>
      </c>
      <c r="AA29" s="54"/>
      <c r="AB29" s="55"/>
      <c r="AC29" s="56">
        <v>6.4</v>
      </c>
      <c r="AD29" s="57">
        <v>3.3E-3</v>
      </c>
      <c r="AE29" s="57">
        <v>3.3E-3</v>
      </c>
      <c r="AF29" s="57">
        <v>3.3E-3</v>
      </c>
      <c r="AG29" s="56">
        <v>6.4</v>
      </c>
      <c r="AH29" s="56"/>
      <c r="AI29" s="57">
        <v>3.3E-3</v>
      </c>
      <c r="AJ29" s="56">
        <v>6.4</v>
      </c>
      <c r="AK29" s="56"/>
      <c r="AL29" s="57">
        <v>3.3E-3</v>
      </c>
      <c r="AM29" s="57"/>
      <c r="AN29" s="73">
        <v>127</v>
      </c>
      <c r="AO29" s="72">
        <v>3.7000000000000002E-3</v>
      </c>
    </row>
    <row r="30" spans="1:41" ht="15.75" hidden="1" customHeight="1" x14ac:dyDescent="0.25">
      <c r="A30" s="58">
        <v>6</v>
      </c>
      <c r="B30" s="59" t="s">
        <v>69</v>
      </c>
      <c r="C30" s="63">
        <v>1875</v>
      </c>
      <c r="D30" s="74">
        <v>0.59830000000000005</v>
      </c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>
        <v>0.59830000000000005</v>
      </c>
      <c r="U30" s="74"/>
      <c r="V30" s="65">
        <f t="shared" si="17"/>
        <v>1121.8125</v>
      </c>
      <c r="W30" s="70">
        <v>0.3</v>
      </c>
      <c r="X30" s="55">
        <f t="shared" si="18"/>
        <v>562.5</v>
      </c>
      <c r="Y30" s="52">
        <v>0.23</v>
      </c>
      <c r="Z30" s="61">
        <f t="shared" si="19"/>
        <v>431.25</v>
      </c>
      <c r="AA30" s="61"/>
      <c r="AB30" s="55"/>
      <c r="AC30" s="56">
        <v>8.6999999999999993</v>
      </c>
      <c r="AD30" s="57">
        <v>3.3E-3</v>
      </c>
      <c r="AE30" s="57">
        <v>3.3E-3</v>
      </c>
      <c r="AF30" s="57">
        <v>3.3E-3</v>
      </c>
      <c r="AG30" s="56">
        <v>8.6999999999999993</v>
      </c>
      <c r="AH30" s="56"/>
      <c r="AI30" s="57">
        <v>3.3E-3</v>
      </c>
      <c r="AJ30" s="56">
        <v>8.6999999999999993</v>
      </c>
      <c r="AK30" s="56"/>
      <c r="AL30" s="57">
        <v>3.3E-3</v>
      </c>
      <c r="AM30" s="57"/>
      <c r="AN30" s="73">
        <v>127</v>
      </c>
      <c r="AO30" s="72">
        <v>2.5999999999999999E-3</v>
      </c>
    </row>
    <row r="31" spans="1:41" ht="15.75" hidden="1" customHeight="1" x14ac:dyDescent="0.25">
      <c r="A31" s="58">
        <v>7</v>
      </c>
      <c r="B31" s="59" t="s">
        <v>70</v>
      </c>
      <c r="C31" s="63">
        <v>2513</v>
      </c>
      <c r="D31" s="74">
        <v>0.59830000000000005</v>
      </c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>
        <v>0.59830000000000005</v>
      </c>
      <c r="U31" s="74"/>
      <c r="V31" s="65">
        <f t="shared" si="17"/>
        <v>1503.5279</v>
      </c>
      <c r="W31" s="70">
        <v>0.3</v>
      </c>
      <c r="X31" s="55">
        <f t="shared" si="18"/>
        <v>753.9</v>
      </c>
      <c r="Y31" s="52">
        <v>0.23</v>
      </c>
      <c r="Z31" s="61">
        <f t="shared" si="19"/>
        <v>577.99</v>
      </c>
      <c r="AA31" s="61"/>
      <c r="AB31" s="55"/>
      <c r="AC31" s="56">
        <v>7</v>
      </c>
      <c r="AD31" s="57">
        <v>3.3E-3</v>
      </c>
      <c r="AE31" s="57">
        <v>3.3E-3</v>
      </c>
      <c r="AF31" s="57">
        <v>3.3E-3</v>
      </c>
      <c r="AG31" s="56">
        <v>7</v>
      </c>
      <c r="AH31" s="56"/>
      <c r="AI31" s="57">
        <v>3.3E-3</v>
      </c>
      <c r="AJ31" s="56">
        <v>7</v>
      </c>
      <c r="AK31" s="56"/>
      <c r="AL31" s="57">
        <v>3.3E-3</v>
      </c>
      <c r="AM31" s="57"/>
      <c r="AN31" s="73">
        <v>127</v>
      </c>
      <c r="AO31" s="72">
        <v>2.5999999999999999E-3</v>
      </c>
    </row>
    <row r="32" spans="1:41" ht="15.75" hidden="1" customHeight="1" x14ac:dyDescent="0.25">
      <c r="A32" s="58">
        <v>8</v>
      </c>
      <c r="B32" s="59" t="s">
        <v>71</v>
      </c>
      <c r="C32" s="63">
        <v>595</v>
      </c>
      <c r="D32" s="74">
        <v>0.59830000000000005</v>
      </c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>
        <v>0.59830000000000005</v>
      </c>
      <c r="U32" s="74"/>
      <c r="V32" s="53">
        <f t="shared" si="17"/>
        <v>355.98850000000004</v>
      </c>
      <c r="W32" s="70">
        <v>0.5</v>
      </c>
      <c r="X32" s="55">
        <f t="shared" si="18"/>
        <v>297.5</v>
      </c>
      <c r="Y32" s="52">
        <v>0.23</v>
      </c>
      <c r="Z32" s="61">
        <f t="shared" si="19"/>
        <v>136.85</v>
      </c>
      <c r="AA32" s="61"/>
      <c r="AB32" s="55"/>
      <c r="AC32" s="56">
        <v>0.5</v>
      </c>
      <c r="AD32" s="57"/>
      <c r="AE32" s="57"/>
      <c r="AF32" s="57"/>
      <c r="AG32" s="56">
        <v>0.5</v>
      </c>
      <c r="AH32" s="56"/>
      <c r="AI32" s="57"/>
      <c r="AJ32" s="56">
        <v>0.5</v>
      </c>
      <c r="AK32" s="56"/>
      <c r="AL32" s="57"/>
      <c r="AM32" s="57"/>
      <c r="AN32" s="73">
        <v>127</v>
      </c>
      <c r="AO32" s="72">
        <v>2.5999999999999999E-3</v>
      </c>
    </row>
    <row r="33" spans="1:41" ht="15.75" hidden="1" customHeight="1" x14ac:dyDescent="0.25">
      <c r="A33" s="58">
        <v>9</v>
      </c>
      <c r="B33" s="59" t="s">
        <v>72</v>
      </c>
      <c r="C33" s="63">
        <v>2240</v>
      </c>
      <c r="D33" s="74">
        <v>0.59830000000000005</v>
      </c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>
        <v>0.59830000000000005</v>
      </c>
      <c r="U33" s="74"/>
      <c r="V33" s="53">
        <f t="shared" si="17"/>
        <v>1340.192</v>
      </c>
      <c r="W33" s="70">
        <v>0.3</v>
      </c>
      <c r="X33" s="55">
        <f t="shared" si="18"/>
        <v>672</v>
      </c>
      <c r="Y33" s="52">
        <v>0.23</v>
      </c>
      <c r="Z33" s="61">
        <f t="shared" si="19"/>
        <v>515.20000000000005</v>
      </c>
      <c r="AA33" s="61"/>
      <c r="AB33" s="55"/>
      <c r="AC33" s="56">
        <v>5.8</v>
      </c>
      <c r="AD33" s="57">
        <v>3.3E-3</v>
      </c>
      <c r="AE33" s="57">
        <v>3.3E-3</v>
      </c>
      <c r="AF33" s="57">
        <v>3.3E-3</v>
      </c>
      <c r="AG33" s="56">
        <v>5.8</v>
      </c>
      <c r="AH33" s="56"/>
      <c r="AI33" s="57">
        <v>3.3E-3</v>
      </c>
      <c r="AJ33" s="56">
        <v>5.8</v>
      </c>
      <c r="AK33" s="56"/>
      <c r="AL33" s="57">
        <v>3.3E-3</v>
      </c>
      <c r="AM33" s="57"/>
      <c r="AN33" s="73">
        <v>127</v>
      </c>
      <c r="AO33" s="72">
        <v>2.5999999999999999E-3</v>
      </c>
    </row>
    <row r="34" spans="1:41" ht="15.75" hidden="1" customHeight="1" x14ac:dyDescent="0.25">
      <c r="A34" s="58">
        <v>10</v>
      </c>
      <c r="B34" s="59" t="s">
        <v>73</v>
      </c>
      <c r="C34" s="63">
        <v>386</v>
      </c>
      <c r="D34" s="74">
        <v>0.59830000000000005</v>
      </c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0.59830000000000005</v>
      </c>
      <c r="U34" s="74"/>
      <c r="V34" s="65">
        <f t="shared" si="17"/>
        <v>230.94380000000001</v>
      </c>
      <c r="W34" s="70">
        <v>0.5</v>
      </c>
      <c r="X34" s="55">
        <f t="shared" si="18"/>
        <v>193</v>
      </c>
      <c r="Y34" s="52">
        <v>0.23</v>
      </c>
      <c r="Z34" s="61">
        <f t="shared" si="19"/>
        <v>88.78</v>
      </c>
      <c r="AA34" s="61"/>
      <c r="AB34" s="55"/>
      <c r="AC34" s="62"/>
      <c r="AD34" s="57"/>
      <c r="AE34" s="57"/>
      <c r="AF34" s="57"/>
      <c r="AG34" s="62"/>
      <c r="AH34" s="62"/>
      <c r="AI34" s="57"/>
      <c r="AJ34" s="62"/>
      <c r="AK34" s="62"/>
      <c r="AL34" s="57"/>
      <c r="AM34" s="57"/>
      <c r="AN34" s="73">
        <v>127</v>
      </c>
      <c r="AO34" s="72">
        <v>2.5999999999999999E-3</v>
      </c>
    </row>
    <row r="35" spans="1:41" ht="15.75" hidden="1" customHeight="1" x14ac:dyDescent="0.25">
      <c r="A35" s="58">
        <v>11</v>
      </c>
      <c r="B35" s="59"/>
      <c r="C35" s="63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5">
        <f t="shared" si="17"/>
        <v>0</v>
      </c>
      <c r="W35" s="56"/>
      <c r="X35" s="55">
        <f t="shared" si="18"/>
        <v>0</v>
      </c>
      <c r="Y35" s="66"/>
      <c r="Z35" s="55">
        <f t="shared" si="19"/>
        <v>0</v>
      </c>
      <c r="AA35" s="55"/>
      <c r="AB35" s="55"/>
      <c r="AC35" s="62"/>
      <c r="AD35" s="57"/>
      <c r="AE35" s="57"/>
      <c r="AF35" s="57"/>
      <c r="AG35" s="62"/>
      <c r="AH35" s="62"/>
      <c r="AI35" s="57"/>
      <c r="AJ35" s="62"/>
      <c r="AK35" s="62"/>
      <c r="AL35" s="57"/>
      <c r="AM35" s="57"/>
      <c r="AN35" s="55"/>
      <c r="AO35" s="57"/>
    </row>
    <row r="36" spans="1:41" ht="15.75" hidden="1" customHeight="1" x14ac:dyDescent="0.25">
      <c r="A36" s="58">
        <v>12</v>
      </c>
      <c r="B36" s="59"/>
      <c r="C36" s="63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5">
        <f t="shared" si="17"/>
        <v>0</v>
      </c>
      <c r="W36" s="56"/>
      <c r="X36" s="55">
        <f t="shared" si="18"/>
        <v>0</v>
      </c>
      <c r="Y36" s="66"/>
      <c r="Z36" s="55">
        <f t="shared" si="19"/>
        <v>0</v>
      </c>
      <c r="AA36" s="55"/>
      <c r="AB36" s="55"/>
      <c r="AC36" s="62"/>
      <c r="AD36" s="57"/>
      <c r="AE36" s="57"/>
      <c r="AF36" s="57"/>
      <c r="AG36" s="62"/>
      <c r="AH36" s="62"/>
      <c r="AI36" s="57"/>
      <c r="AJ36" s="62"/>
      <c r="AK36" s="62"/>
      <c r="AL36" s="57"/>
      <c r="AM36" s="57"/>
      <c r="AN36" s="55"/>
      <c r="AO36" s="57"/>
    </row>
    <row r="37" spans="1:41" ht="15.75" hidden="1" customHeight="1" x14ac:dyDescent="0.25">
      <c r="A37" s="58">
        <v>13</v>
      </c>
      <c r="B37" s="59"/>
      <c r="C37" s="63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5">
        <f t="shared" si="17"/>
        <v>0</v>
      </c>
      <c r="W37" s="56"/>
      <c r="X37" s="55">
        <f t="shared" si="18"/>
        <v>0</v>
      </c>
      <c r="Y37" s="66"/>
      <c r="Z37" s="55">
        <f t="shared" si="19"/>
        <v>0</v>
      </c>
      <c r="AA37" s="55"/>
      <c r="AB37" s="55"/>
      <c r="AC37" s="62"/>
      <c r="AD37" s="57"/>
      <c r="AE37" s="57"/>
      <c r="AF37" s="57"/>
      <c r="AG37" s="62"/>
      <c r="AH37" s="62"/>
      <c r="AI37" s="57"/>
      <c r="AJ37" s="62"/>
      <c r="AK37" s="62"/>
      <c r="AL37" s="57"/>
      <c r="AM37" s="57"/>
      <c r="AN37" s="55"/>
      <c r="AO37" s="57"/>
    </row>
    <row r="38" spans="1:41" ht="15.75" hidden="1" customHeight="1" x14ac:dyDescent="0.25">
      <c r="A38" s="58">
        <v>14</v>
      </c>
      <c r="B38" s="59"/>
      <c r="C38" s="63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5">
        <f t="shared" si="17"/>
        <v>0</v>
      </c>
      <c r="W38" s="56"/>
      <c r="X38" s="55">
        <f t="shared" si="18"/>
        <v>0</v>
      </c>
      <c r="Y38" s="66"/>
      <c r="Z38" s="55">
        <f t="shared" si="19"/>
        <v>0</v>
      </c>
      <c r="AA38" s="55"/>
      <c r="AB38" s="55"/>
      <c r="AC38" s="62"/>
      <c r="AD38" s="57"/>
      <c r="AE38" s="57"/>
      <c r="AF38" s="57"/>
      <c r="AG38" s="62"/>
      <c r="AH38" s="62"/>
      <c r="AI38" s="57"/>
      <c r="AJ38" s="62"/>
      <c r="AK38" s="62"/>
      <c r="AL38" s="57"/>
      <c r="AM38" s="57"/>
      <c r="AN38" s="55"/>
      <c r="AO38" s="57"/>
    </row>
    <row r="39" spans="1:41" ht="15.75" hidden="1" customHeight="1" x14ac:dyDescent="0.25">
      <c r="A39" s="58">
        <v>15</v>
      </c>
      <c r="B39" s="59"/>
      <c r="C39" s="63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5">
        <f t="shared" si="17"/>
        <v>0</v>
      </c>
      <c r="W39" s="56"/>
      <c r="X39" s="55">
        <f t="shared" si="18"/>
        <v>0</v>
      </c>
      <c r="Y39" s="66"/>
      <c r="Z39" s="55">
        <f t="shared" si="19"/>
        <v>0</v>
      </c>
      <c r="AA39" s="55"/>
      <c r="AB39" s="55"/>
      <c r="AC39" s="62"/>
      <c r="AD39" s="57"/>
      <c r="AE39" s="57"/>
      <c r="AF39" s="57"/>
      <c r="AG39" s="62"/>
      <c r="AH39" s="62"/>
      <c r="AI39" s="57"/>
      <c r="AJ39" s="62"/>
      <c r="AK39" s="62"/>
      <c r="AL39" s="57"/>
      <c r="AM39" s="57"/>
      <c r="AN39" s="55"/>
      <c r="AO39" s="57"/>
    </row>
    <row r="40" spans="1:41" ht="15.75" hidden="1" customHeight="1" x14ac:dyDescent="0.25">
      <c r="A40" s="58">
        <v>16</v>
      </c>
      <c r="B40" s="59"/>
      <c r="C40" s="63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5">
        <f t="shared" si="17"/>
        <v>0</v>
      </c>
      <c r="W40" s="56"/>
      <c r="X40" s="55">
        <f t="shared" si="18"/>
        <v>0</v>
      </c>
      <c r="Y40" s="66"/>
      <c r="Z40" s="55">
        <f t="shared" si="19"/>
        <v>0</v>
      </c>
      <c r="AA40" s="55"/>
      <c r="AB40" s="55"/>
      <c r="AC40" s="62"/>
      <c r="AD40" s="57"/>
      <c r="AE40" s="57"/>
      <c r="AF40" s="57"/>
      <c r="AG40" s="62"/>
      <c r="AH40" s="62"/>
      <c r="AI40" s="57"/>
      <c r="AJ40" s="62"/>
      <c r="AK40" s="62"/>
      <c r="AL40" s="57"/>
      <c r="AM40" s="57"/>
      <c r="AN40" s="55"/>
      <c r="AO40" s="57"/>
    </row>
    <row r="41" spans="1:41" ht="15.75" hidden="1" customHeight="1" x14ac:dyDescent="0.25">
      <c r="A41" s="58">
        <v>17</v>
      </c>
      <c r="B41" s="59"/>
      <c r="C41" s="63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5">
        <f t="shared" si="17"/>
        <v>0</v>
      </c>
      <c r="W41" s="56"/>
      <c r="X41" s="55">
        <f t="shared" si="18"/>
        <v>0</v>
      </c>
      <c r="Y41" s="66"/>
      <c r="Z41" s="55">
        <f t="shared" si="19"/>
        <v>0</v>
      </c>
      <c r="AA41" s="55"/>
      <c r="AB41" s="55"/>
      <c r="AC41" s="62"/>
      <c r="AD41" s="57"/>
      <c r="AE41" s="57"/>
      <c r="AF41" s="57"/>
      <c r="AG41" s="62"/>
      <c r="AH41" s="62"/>
      <c r="AI41" s="57"/>
      <c r="AJ41" s="62"/>
      <c r="AK41" s="62"/>
      <c r="AL41" s="57"/>
      <c r="AM41" s="57"/>
      <c r="AN41" s="55"/>
      <c r="AO41" s="57"/>
    </row>
    <row r="42" spans="1:41" ht="15.75" hidden="1" customHeight="1" x14ac:dyDescent="0.25">
      <c r="A42" s="58">
        <v>18</v>
      </c>
      <c r="B42" s="59"/>
      <c r="C42" s="63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5">
        <f t="shared" si="17"/>
        <v>0</v>
      </c>
      <c r="W42" s="56"/>
      <c r="X42" s="55">
        <f t="shared" si="18"/>
        <v>0</v>
      </c>
      <c r="Y42" s="66"/>
      <c r="Z42" s="55">
        <f t="shared" si="19"/>
        <v>0</v>
      </c>
      <c r="AA42" s="55"/>
      <c r="AB42" s="55"/>
      <c r="AC42" s="62"/>
      <c r="AD42" s="57"/>
      <c r="AE42" s="57"/>
      <c r="AF42" s="57"/>
      <c r="AG42" s="62"/>
      <c r="AH42" s="62"/>
      <c r="AI42" s="57"/>
      <c r="AJ42" s="62"/>
      <c r="AK42" s="62"/>
      <c r="AL42" s="57"/>
      <c r="AM42" s="57"/>
      <c r="AN42" s="55"/>
      <c r="AO42" s="57"/>
    </row>
    <row r="43" spans="1:41" ht="15.75" hidden="1" customHeight="1" x14ac:dyDescent="0.25">
      <c r="A43" s="58">
        <v>19</v>
      </c>
      <c r="B43" s="59"/>
      <c r="C43" s="63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5">
        <f t="shared" si="17"/>
        <v>0</v>
      </c>
      <c r="W43" s="56"/>
      <c r="X43" s="55">
        <f t="shared" si="18"/>
        <v>0</v>
      </c>
      <c r="Y43" s="66"/>
      <c r="Z43" s="55">
        <f t="shared" si="19"/>
        <v>0</v>
      </c>
      <c r="AA43" s="55"/>
      <c r="AB43" s="55"/>
      <c r="AC43" s="62"/>
      <c r="AD43" s="57"/>
      <c r="AE43" s="57"/>
      <c r="AF43" s="57"/>
      <c r="AG43" s="62"/>
      <c r="AH43" s="62"/>
      <c r="AI43" s="57"/>
      <c r="AJ43" s="62"/>
      <c r="AK43" s="62"/>
      <c r="AL43" s="57"/>
      <c r="AM43" s="57"/>
      <c r="AN43" s="55"/>
      <c r="AO43" s="57"/>
    </row>
    <row r="44" spans="1:41" ht="16.5" hidden="1" customHeight="1" thickBot="1" x14ac:dyDescent="0.3">
      <c r="A44" s="220" t="s">
        <v>0</v>
      </c>
      <c r="B44" s="221"/>
      <c r="C44" s="67">
        <f>SUM(C25:C43)</f>
        <v>62443</v>
      </c>
      <c r="D44" s="67" t="s">
        <v>74</v>
      </c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 t="s">
        <v>74</v>
      </c>
      <c r="U44" s="67"/>
      <c r="V44" s="67">
        <f>SUM(V25:V43)</f>
        <v>31750.128699999997</v>
      </c>
      <c r="W44" s="67" t="s">
        <v>74</v>
      </c>
      <c r="X44" s="67">
        <f>SUM(X25:X43)</f>
        <v>7937.7599999999984</v>
      </c>
      <c r="Y44" s="67" t="s">
        <v>74</v>
      </c>
      <c r="Z44" s="67">
        <f>SUM(Z25:Z43)</f>
        <v>24177.175999999996</v>
      </c>
      <c r="AA44" s="67"/>
      <c r="AB44" s="67"/>
      <c r="AC44" s="67">
        <f>SUM(AC25:AC43)</f>
        <v>148.70000000000002</v>
      </c>
      <c r="AD44" s="67" t="s">
        <v>74</v>
      </c>
      <c r="AE44" s="67" t="s">
        <v>74</v>
      </c>
      <c r="AF44" s="67" t="s">
        <v>74</v>
      </c>
      <c r="AG44" s="67">
        <f>SUM(AG25:AG43)</f>
        <v>148.70000000000002</v>
      </c>
      <c r="AH44" s="67"/>
      <c r="AI44" s="67" t="s">
        <v>74</v>
      </c>
      <c r="AJ44" s="136">
        <f>SUM(AJ25:AJ43)</f>
        <v>148.70000000000002</v>
      </c>
      <c r="AK44" s="67"/>
      <c r="AL44" s="67" t="s">
        <v>74</v>
      </c>
      <c r="AM44" s="67" t="s">
        <v>74</v>
      </c>
      <c r="AN44" s="67">
        <f>SUM(AN25:AN43)</f>
        <v>1270</v>
      </c>
      <c r="AO44" s="67" t="s">
        <v>74</v>
      </c>
    </row>
    <row r="45" spans="1:41" ht="12.75" hidden="1" customHeight="1" x14ac:dyDescent="0.2">
      <c r="C45" s="5"/>
      <c r="W45" s="5"/>
      <c r="Z45" s="5"/>
      <c r="AA45" s="5"/>
      <c r="AB45" s="5"/>
    </row>
    <row r="46" spans="1:41" x14ac:dyDescent="0.2">
      <c r="C46" s="9"/>
      <c r="W46" s="5"/>
      <c r="Z46" s="5"/>
      <c r="AA46" s="5"/>
      <c r="AB46" s="5"/>
    </row>
    <row r="47" spans="1:41" x14ac:dyDescent="0.2">
      <c r="Y47" s="1" t="s">
        <v>75</v>
      </c>
    </row>
    <row r="48" spans="1:41" x14ac:dyDescent="0.2">
      <c r="V48" s="1" t="s">
        <v>75</v>
      </c>
      <c r="X48" s="1" t="s">
        <v>75</v>
      </c>
      <c r="AC48" s="1" t="s">
        <v>75</v>
      </c>
      <c r="AG48" s="1" t="s">
        <v>75</v>
      </c>
      <c r="AJ48" s="5" t="s">
        <v>75</v>
      </c>
      <c r="AM48" s="5"/>
    </row>
    <row r="49" spans="4:42" x14ac:dyDescent="0.2">
      <c r="D49" s="5" t="s">
        <v>75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 t="s">
        <v>75</v>
      </c>
      <c r="U49" s="5"/>
      <c r="V49" s="5" t="s">
        <v>75</v>
      </c>
      <c r="X49" s="5"/>
    </row>
    <row r="50" spans="4:42" x14ac:dyDescent="0.2">
      <c r="D50" s="5" t="s">
        <v>75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 t="s">
        <v>75</v>
      </c>
      <c r="U50" s="5"/>
      <c r="V50" s="5" t="s">
        <v>75</v>
      </c>
      <c r="X50" s="1" t="s">
        <v>75</v>
      </c>
      <c r="Y50" s="1" t="s">
        <v>75</v>
      </c>
      <c r="AC50" s="1" t="s">
        <v>75</v>
      </c>
      <c r="AG50" s="1" t="s">
        <v>75</v>
      </c>
      <c r="AJ50" s="5" t="s">
        <v>75</v>
      </c>
      <c r="AN50" s="1" t="s">
        <v>75</v>
      </c>
    </row>
    <row r="51" spans="4:42" x14ac:dyDescent="0.2">
      <c r="D51" s="5" t="s">
        <v>75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75</v>
      </c>
      <c r="U51" s="5"/>
    </row>
    <row r="52" spans="4:42" x14ac:dyDescent="0.2">
      <c r="AM52" s="1" t="s">
        <v>75</v>
      </c>
    </row>
    <row r="53" spans="4:42" x14ac:dyDescent="0.2">
      <c r="AD53" s="1" t="s">
        <v>75</v>
      </c>
      <c r="AE53" s="1" t="s">
        <v>75</v>
      </c>
      <c r="AF53" s="1" t="s">
        <v>75</v>
      </c>
      <c r="AI53" s="1" t="s">
        <v>75</v>
      </c>
      <c r="AL53" s="1" t="s">
        <v>75</v>
      </c>
    </row>
    <row r="54" spans="4:42" x14ac:dyDescent="0.2">
      <c r="AD54" s="1" t="s">
        <v>75</v>
      </c>
      <c r="AE54" s="1" t="s">
        <v>75</v>
      </c>
      <c r="AF54" s="1" t="s">
        <v>75</v>
      </c>
      <c r="AI54" s="1" t="s">
        <v>75</v>
      </c>
      <c r="AL54" s="1" t="s">
        <v>75</v>
      </c>
      <c r="AM54" s="5" t="s">
        <v>75</v>
      </c>
    </row>
    <row r="56" spans="4:42" x14ac:dyDescent="0.2">
      <c r="AM56" s="1" t="s">
        <v>75</v>
      </c>
      <c r="AP56" s="1" t="s">
        <v>75</v>
      </c>
    </row>
    <row r="60" spans="4:42" x14ac:dyDescent="0.2">
      <c r="AP60" s="1" t="s">
        <v>75</v>
      </c>
    </row>
  </sheetData>
  <mergeCells count="73">
    <mergeCell ref="AN20:AN22"/>
    <mergeCell ref="AO20:AO22"/>
    <mergeCell ref="Z20:Z22"/>
    <mergeCell ref="AA20:AA22"/>
    <mergeCell ref="AB20:AB22"/>
    <mergeCell ref="A23:B23"/>
    <mergeCell ref="A24:B24"/>
    <mergeCell ref="A44:B44"/>
    <mergeCell ref="AG20:AG22"/>
    <mergeCell ref="AM20:AM22"/>
    <mergeCell ref="C20:C22"/>
    <mergeCell ref="D20:D22"/>
    <mergeCell ref="AC20:AC22"/>
    <mergeCell ref="AD20:AD22"/>
    <mergeCell ref="V20:V22"/>
    <mergeCell ref="W20:W22"/>
    <mergeCell ref="X20:X22"/>
    <mergeCell ref="Y20:Y22"/>
    <mergeCell ref="T20:T22"/>
    <mergeCell ref="AE20:AE22"/>
    <mergeCell ref="AF20:AF22"/>
    <mergeCell ref="A8:B8"/>
    <mergeCell ref="A7:B7"/>
    <mergeCell ref="A13:B13"/>
    <mergeCell ref="A20:A22"/>
    <mergeCell ref="B20:B22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0:AJ22"/>
    <mergeCell ref="AL20:AL22"/>
    <mergeCell ref="AI20:AI22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2025</vt:lpstr>
      <vt:lpstr>ИНП 2025</vt:lpstr>
      <vt:lpstr>ИБР2025</vt:lpstr>
      <vt:lpstr>ИБР2025!Заголовки_для_печати</vt:lpstr>
      <vt:lpstr>'ИНП 2025'!Заголовки_для_печати</vt:lpstr>
      <vt:lpstr>'Регион ФФПП 2025'!Заголовки_для_печати</vt:lpstr>
      <vt:lpstr>ИБР2025!Область_печати</vt:lpstr>
      <vt:lpstr>'ИНП 2025'!Область_печати</vt:lpstr>
      <vt:lpstr>'Регион ФФПП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Fin32</cp:lastModifiedBy>
  <cp:lastPrinted>2024-11-05T12:34:31Z</cp:lastPrinted>
  <dcterms:created xsi:type="dcterms:W3CDTF">1996-11-09T08:12:45Z</dcterms:created>
  <dcterms:modified xsi:type="dcterms:W3CDTF">2024-11-05T12:35:53Z</dcterms:modified>
</cp:coreProperties>
</file>